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 tabRatio="970" activeTab="6"/>
  </bookViews>
  <sheets>
    <sheet name="LABORATOR +AN.PAT-TOTAL" sheetId="21" r:id="rId1"/>
    <sheet name="RADIOLOGIE PARACLINIC" sheetId="23" r:id="rId2"/>
    <sheet name="TOP LABORATOR CRIT.EVALUARE" sheetId="32" r:id="rId3"/>
    <sheet name="TOP LABORATOR -SR EN ISO 15189" sheetId="33" r:id="rId4"/>
    <sheet name="TOP LABORATOR CONTROL EXT" sheetId="34" r:id="rId5"/>
    <sheet name="TOP RADIOLOGIE-CRIT.EVAL" sheetId="31" r:id="rId6"/>
    <sheet name="TOP ECO CLINIC" sheetId="35" r:id="rId7"/>
    <sheet name="TOP MED FAM" sheetId="30" r:id="rId8"/>
    <sheet name="ACT.ADIT.DENTARA" sheetId="29" r:id="rId9"/>
  </sheets>
  <definedNames>
    <definedName name="_xlnm._FilterDatabase" localSheetId="8" hidden="1">ACT.ADIT.DENTARA!$A$6:$E$8</definedName>
    <definedName name="_xlnm._FilterDatabase" localSheetId="0" hidden="1">'LABORATOR +AN.PAT-TOTAL'!$A$7:$J$118</definedName>
    <definedName name="_xlnm._FilterDatabase" localSheetId="1" hidden="1">'RADIOLOGIE PARACLINIC'!$A$6:$H$68</definedName>
    <definedName name="_xlnm._FilterDatabase" localSheetId="6" hidden="1">'TOP ECO CLINIC'!$A$3:$H$85</definedName>
    <definedName name="_xlnm._FilterDatabase" localSheetId="4" hidden="1">'TOP LABORATOR CONTROL EXT'!$A$7:$C$110</definedName>
    <definedName name="_xlnm._FilterDatabase" localSheetId="2" hidden="1">'TOP LABORATOR CRIT.EVALUARE'!$A$7:$G$110</definedName>
    <definedName name="_xlnm._FilterDatabase" localSheetId="3" hidden="1">'TOP LABORATOR -SR EN ISO 15189'!$A$7:$C$110</definedName>
    <definedName name="_xlnm._FilterDatabase" localSheetId="7" hidden="1">'TOP MED FAM'!$A$5:$G$31</definedName>
    <definedName name="_xlnm._FilterDatabase" localSheetId="5" hidden="1">'TOP RADIOLOGIE-CRIT.EVAL'!$A$6:$G$64</definedName>
    <definedName name="_xlnm.Print_Area" localSheetId="8">ACT.ADIT.DENTARA!$A$3:$G$8</definedName>
    <definedName name="_xlnm.Print_Area" localSheetId="0">'LABORATOR +AN.PAT-TOTAL'!$A$3:$J$135</definedName>
    <definedName name="_xlnm.Print_Area" localSheetId="1">'RADIOLOGIE PARACLINIC'!$A$3:$H$68</definedName>
    <definedName name="_xlnm.Print_Area" localSheetId="6">'TOP ECO CLINIC'!$A$3:$H$85</definedName>
    <definedName name="_xlnm.Print_Area" localSheetId="4">'TOP LABORATOR CONTROL EXT'!$A$3:$C$114</definedName>
    <definedName name="_xlnm.Print_Area" localSheetId="2">'TOP LABORATOR CRIT.EVALUARE'!$A$3:$G$125</definedName>
    <definedName name="_xlnm.Print_Area" localSheetId="3">'TOP LABORATOR -SR EN ISO 15189'!$A$3:$C$114</definedName>
    <definedName name="_xlnm.Print_Area" localSheetId="7">'TOP MED FAM'!$A$2:$I$32</definedName>
    <definedName name="_xlnm.Print_Area" localSheetId="5">'TOP RADIOLOGIE-CRIT.EVAL'!$A$3:$G$64</definedName>
    <definedName name="_xlnm.Print_Titles" localSheetId="8">ACT.ADIT.DENTARA!$A:$A,ACT.ADIT.DENTARA!$6:$7</definedName>
    <definedName name="_xlnm.Print_Titles" localSheetId="0">'LABORATOR +AN.PAT-TOTAL'!$A:$B,'LABORATOR +AN.PAT-TOTAL'!$7:$8</definedName>
    <definedName name="_xlnm.Print_Titles" localSheetId="1">'RADIOLOGIE PARACLINIC'!$A:$B,'RADIOLOGIE PARACLINIC'!$6:$7</definedName>
    <definedName name="_xlnm.Print_Titles" localSheetId="6">'TOP ECO CLINIC'!$5:$6</definedName>
    <definedName name="_xlnm.Print_Titles" localSheetId="4">'TOP LABORATOR CONTROL EXT'!$A:$B,'TOP LABORATOR CONTROL EXT'!$7:$8</definedName>
    <definedName name="_xlnm.Print_Titles" localSheetId="2">'TOP LABORATOR CRIT.EVALUARE'!$A:$B,'TOP LABORATOR CRIT.EVALUARE'!$7:$8</definedName>
    <definedName name="_xlnm.Print_Titles" localSheetId="3">'TOP LABORATOR -SR EN ISO 15189'!$A:$B,'TOP LABORATOR -SR EN ISO 15189'!$7:$8</definedName>
    <definedName name="_xlnm.Print_Titles" localSheetId="7">'TOP MED FAM'!$6:$7</definedName>
    <definedName name="_xlnm.Print_Titles" localSheetId="5">'TOP RADIOLOGIE-CRIT.EVAL'!$A:$B,'TOP RADIOLOGIE-CRIT.EVAL'!$6:$7</definedName>
  </definedNames>
  <calcPr calcId="125725"/>
</workbook>
</file>

<file path=xl/calcChain.xml><?xml version="1.0" encoding="utf-8"?>
<calcChain xmlns="http://schemas.openxmlformats.org/spreadsheetml/2006/main">
  <c r="E68" i="31"/>
  <c r="G58"/>
  <c r="G67"/>
  <c r="G33"/>
  <c r="G62"/>
  <c r="G24"/>
  <c r="G42"/>
  <c r="G45"/>
  <c r="G25"/>
  <c r="G18"/>
  <c r="G23"/>
  <c r="G21"/>
  <c r="D21"/>
  <c r="G16"/>
  <c r="G66"/>
  <c r="G22"/>
  <c r="G40"/>
  <c r="G41"/>
  <c r="G26"/>
  <c r="G11"/>
  <c r="F11"/>
  <c r="G35"/>
  <c r="G29"/>
  <c r="G47"/>
  <c r="D47"/>
  <c r="G54"/>
  <c r="G56"/>
  <c r="G17"/>
  <c r="G39"/>
  <c r="G31"/>
  <c r="G30"/>
  <c r="G49"/>
  <c r="G27"/>
  <c r="G65"/>
  <c r="G57"/>
  <c r="G37"/>
  <c r="G50"/>
  <c r="G12"/>
  <c r="G34"/>
  <c r="G28"/>
  <c r="G44"/>
  <c r="G38"/>
  <c r="F15"/>
  <c r="G15" s="1"/>
  <c r="G13"/>
  <c r="F13"/>
  <c r="G51"/>
  <c r="G53"/>
  <c r="F8"/>
  <c r="D8"/>
  <c r="G63"/>
  <c r="G9"/>
  <c r="F9"/>
  <c r="G64"/>
  <c r="G43"/>
  <c r="G61"/>
  <c r="G55"/>
  <c r="G59"/>
  <c r="F10"/>
  <c r="D10"/>
  <c r="G10" s="1"/>
  <c r="G36"/>
  <c r="G48"/>
  <c r="G20"/>
  <c r="G32"/>
  <c r="F14"/>
  <c r="G14" s="1"/>
  <c r="G60"/>
  <c r="G52"/>
  <c r="F19"/>
  <c r="G19" s="1"/>
  <c r="G46"/>
  <c r="D135" i="34"/>
  <c r="D31"/>
  <c r="D49"/>
  <c r="D36"/>
  <c r="D30"/>
  <c r="D35"/>
  <c r="D95"/>
  <c r="D14"/>
  <c r="D20"/>
  <c r="D11"/>
  <c r="D13"/>
  <c r="D19"/>
  <c r="D25"/>
  <c r="D44"/>
  <c r="D17"/>
  <c r="D27"/>
  <c r="D9"/>
  <c r="D26"/>
  <c r="D23"/>
  <c r="D29"/>
  <c r="D15"/>
  <c r="D10"/>
  <c r="D40"/>
  <c r="D34"/>
  <c r="D18"/>
  <c r="D80"/>
  <c r="D33"/>
  <c r="D12"/>
  <c r="D16"/>
  <c r="D118" s="1"/>
  <c r="D21" i="33"/>
  <c r="D34"/>
  <c r="D15"/>
  <c r="D26"/>
  <c r="D29"/>
  <c r="D13"/>
  <c r="D30"/>
  <c r="D11"/>
  <c r="D27"/>
  <c r="D20"/>
  <c r="D17"/>
  <c r="D12"/>
  <c r="D10"/>
  <c r="D25"/>
  <c r="D22"/>
  <c r="D23"/>
  <c r="D9"/>
  <c r="D28"/>
  <c r="D16"/>
  <c r="D24"/>
  <c r="D18"/>
  <c r="D14"/>
  <c r="G68" i="31" l="1"/>
  <c r="G8"/>
  <c r="D68"/>
  <c r="F68"/>
  <c r="D118" i="33"/>
  <c r="F135" i="32"/>
  <c r="E135"/>
  <c r="G134"/>
  <c r="G133"/>
  <c r="G132"/>
  <c r="D132"/>
  <c r="D131"/>
  <c r="G131" s="1"/>
  <c r="G130"/>
  <c r="G129"/>
  <c r="D128"/>
  <c r="G128" s="1"/>
  <c r="G97"/>
  <c r="G47"/>
  <c r="G44"/>
  <c r="G76"/>
  <c r="G108"/>
  <c r="G68"/>
  <c r="G48"/>
  <c r="G102"/>
  <c r="G106"/>
  <c r="G38"/>
  <c r="G101"/>
  <c r="G110"/>
  <c r="D67"/>
  <c r="G67" s="1"/>
  <c r="G83"/>
  <c r="D83"/>
  <c r="G91"/>
  <c r="G113"/>
  <c r="G72"/>
  <c r="G105"/>
  <c r="G54"/>
  <c r="G40"/>
  <c r="G52"/>
  <c r="G29"/>
  <c r="G93"/>
  <c r="G23"/>
  <c r="G36"/>
  <c r="G95"/>
  <c r="G94"/>
  <c r="G86"/>
  <c r="G30"/>
  <c r="G28"/>
  <c r="E28"/>
  <c r="G69"/>
  <c r="G39"/>
  <c r="G37"/>
  <c r="G73"/>
  <c r="G65"/>
  <c r="G46"/>
  <c r="G74"/>
  <c r="G82"/>
  <c r="G43"/>
  <c r="G80"/>
  <c r="G19"/>
  <c r="F19"/>
  <c r="G96"/>
  <c r="G77"/>
  <c r="G18"/>
  <c r="G59"/>
  <c r="G81"/>
  <c r="G111"/>
  <c r="G35"/>
  <c r="G64"/>
  <c r="F10"/>
  <c r="D10"/>
  <c r="G10" s="1"/>
  <c r="G24"/>
  <c r="G115"/>
  <c r="G116"/>
  <c r="G66"/>
  <c r="D66"/>
  <c r="G34"/>
  <c r="G27"/>
  <c r="G107"/>
  <c r="G71"/>
  <c r="E31"/>
  <c r="G31" s="1"/>
  <c r="G42"/>
  <c r="G98"/>
  <c r="G26"/>
  <c r="G61"/>
  <c r="F57"/>
  <c r="G57" s="1"/>
  <c r="D57"/>
  <c r="G99"/>
  <c r="G114"/>
  <c r="G14"/>
  <c r="F14"/>
  <c r="G56"/>
  <c r="G32"/>
  <c r="D51"/>
  <c r="G51" s="1"/>
  <c r="G63"/>
  <c r="G85"/>
  <c r="G87"/>
  <c r="G49"/>
  <c r="E49"/>
  <c r="G79"/>
  <c r="G41"/>
  <c r="G75"/>
  <c r="F9"/>
  <c r="G9" s="1"/>
  <c r="G88"/>
  <c r="E20"/>
  <c r="G20" s="1"/>
  <c r="D20"/>
  <c r="G21"/>
  <c r="G78"/>
  <c r="G60"/>
  <c r="G58"/>
  <c r="E45"/>
  <c r="G45" s="1"/>
  <c r="G15"/>
  <c r="E15"/>
  <c r="G100"/>
  <c r="F13"/>
  <c r="G13" s="1"/>
  <c r="G117"/>
  <c r="G62"/>
  <c r="G17"/>
  <c r="E22"/>
  <c r="G22" s="1"/>
  <c r="G104"/>
  <c r="G53"/>
  <c r="G112"/>
  <c r="G16"/>
  <c r="G103"/>
  <c r="G70"/>
  <c r="G50"/>
  <c r="G92"/>
  <c r="G33"/>
  <c r="G12"/>
  <c r="F12"/>
  <c r="G25"/>
  <c r="G89"/>
  <c r="G55"/>
  <c r="G109"/>
  <c r="G84"/>
  <c r="G11"/>
  <c r="F11"/>
  <c r="G90"/>
  <c r="D118" l="1"/>
  <c r="G118"/>
  <c r="G135"/>
  <c r="F118"/>
  <c r="E118"/>
  <c r="D135"/>
  <c r="J54" i="21" l="1"/>
  <c r="J27" l="1"/>
  <c r="J59"/>
  <c r="J98"/>
  <c r="J50"/>
  <c r="J51"/>
  <c r="J20"/>
  <c r="J33"/>
  <c r="J96"/>
  <c r="H96"/>
  <c r="G10" l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D132"/>
  <c r="D128"/>
  <c r="D105"/>
  <c r="D104"/>
  <c r="D131"/>
  <c r="D68"/>
  <c r="D64"/>
  <c r="D54"/>
  <c r="D48"/>
  <c r="D38"/>
  <c r="E88" l="1"/>
  <c r="E135"/>
  <c r="F135"/>
  <c r="H135"/>
  <c r="D135"/>
  <c r="G134" l="1"/>
  <c r="E59"/>
  <c r="E44"/>
  <c r="E38"/>
  <c r="E33"/>
  <c r="E32"/>
  <c r="E26"/>
  <c r="D57" i="23"/>
  <c r="D47"/>
  <c r="D25"/>
  <c r="D17"/>
  <c r="G60"/>
  <c r="F54" i="21" l="1"/>
  <c r="G66" i="23"/>
  <c r="G67"/>
  <c r="G65"/>
  <c r="E68"/>
  <c r="F68"/>
  <c r="H68"/>
  <c r="D68"/>
  <c r="H57"/>
  <c r="D10" i="35" l="1"/>
  <c r="D17" l="1"/>
  <c r="D15"/>
  <c r="D18"/>
  <c r="D7"/>
  <c r="D16"/>
  <c r="D20" i="30"/>
  <c r="G67" i="35" l="1"/>
  <c r="G19"/>
  <c r="G20"/>
  <c r="G76"/>
  <c r="G40"/>
  <c r="G45"/>
  <c r="G41"/>
  <c r="G10"/>
  <c r="G16"/>
  <c r="G68"/>
  <c r="G48"/>
  <c r="G31"/>
  <c r="G9"/>
  <c r="G8"/>
  <c r="G81"/>
  <c r="G39"/>
  <c r="G54"/>
  <c r="G53"/>
  <c r="G82"/>
  <c r="G7"/>
  <c r="G18"/>
  <c r="G52"/>
  <c r="G58"/>
  <c r="G79"/>
  <c r="G38"/>
  <c r="G13"/>
  <c r="G23"/>
  <c r="G73"/>
  <c r="G65"/>
  <c r="G63"/>
  <c r="G34"/>
  <c r="G32"/>
  <c r="G15"/>
  <c r="G29"/>
  <c r="G71"/>
  <c r="G60"/>
  <c r="G57"/>
  <c r="G21"/>
  <c r="G47"/>
  <c r="G30"/>
  <c r="G80"/>
  <c r="G26"/>
  <c r="G37"/>
  <c r="G28"/>
  <c r="G69"/>
  <c r="G24"/>
  <c r="G66"/>
  <c r="G49"/>
  <c r="G22"/>
  <c r="G74"/>
  <c r="G14"/>
  <c r="G64"/>
  <c r="G46"/>
  <c r="G61"/>
  <c r="G35"/>
  <c r="G59"/>
  <c r="G25"/>
  <c r="G75"/>
  <c r="G62"/>
  <c r="G11"/>
  <c r="G27"/>
  <c r="G44"/>
  <c r="G12"/>
  <c r="G55"/>
  <c r="G78"/>
  <c r="G43"/>
  <c r="G72"/>
  <c r="G70"/>
  <c r="G51"/>
  <c r="G77"/>
  <c r="G33"/>
  <c r="G42"/>
  <c r="G83"/>
  <c r="G56"/>
  <c r="G50"/>
  <c r="G17"/>
  <c r="G36"/>
  <c r="G31" i="30" l="1"/>
  <c r="G18"/>
  <c r="G19"/>
  <c r="G8"/>
  <c r="G11"/>
  <c r="G21"/>
  <c r="G20"/>
  <c r="G26"/>
  <c r="G23"/>
  <c r="G13"/>
  <c r="G9"/>
  <c r="G29"/>
  <c r="G27"/>
  <c r="G28"/>
  <c r="G17"/>
  <c r="G10"/>
  <c r="G15"/>
  <c r="G12"/>
  <c r="G16"/>
  <c r="G24"/>
  <c r="G30"/>
  <c r="G25"/>
  <c r="G14"/>
  <c r="D14"/>
  <c r="D24"/>
  <c r="D10"/>
  <c r="D9"/>
  <c r="D13"/>
  <c r="D26"/>
  <c r="D11"/>
  <c r="E8"/>
  <c r="D18"/>
  <c r="J101" i="21" l="1"/>
  <c r="J84"/>
  <c r="J83"/>
  <c r="J78"/>
  <c r="J77"/>
  <c r="J74"/>
  <c r="J68"/>
  <c r="J67"/>
  <c r="J58"/>
  <c r="J40"/>
  <c r="J38"/>
  <c r="J37"/>
  <c r="J32"/>
  <c r="J30"/>
  <c r="J26"/>
  <c r="J24"/>
  <c r="J17"/>
  <c r="J16"/>
  <c r="J10"/>
  <c r="H101"/>
  <c r="H94"/>
  <c r="H84"/>
  <c r="H83"/>
  <c r="H77"/>
  <c r="H74"/>
  <c r="H68"/>
  <c r="H67"/>
  <c r="H59"/>
  <c r="H58"/>
  <c r="H51"/>
  <c r="H40"/>
  <c r="H38"/>
  <c r="H37"/>
  <c r="H32"/>
  <c r="H30"/>
  <c r="H26"/>
  <c r="H24"/>
  <c r="H17"/>
  <c r="H16"/>
  <c r="H10"/>
  <c r="G9" i="23" l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1"/>
  <c r="G62"/>
  <c r="G63"/>
  <c r="G64"/>
  <c r="G68" l="1"/>
  <c r="F50"/>
  <c r="F29"/>
  <c r="F28"/>
  <c r="F25"/>
  <c r="F23"/>
  <c r="F17"/>
  <c r="F12"/>
  <c r="F9"/>
  <c r="G129" i="21" l="1"/>
  <c r="G130"/>
  <c r="G131"/>
  <c r="G132"/>
  <c r="G133"/>
  <c r="G135" l="1"/>
  <c r="H118"/>
  <c r="I118"/>
  <c r="J118"/>
  <c r="D118"/>
  <c r="E118"/>
  <c r="G9"/>
  <c r="G128"/>
  <c r="F77" l="1"/>
  <c r="F68"/>
  <c r="F51"/>
  <c r="F40"/>
  <c r="F30"/>
  <c r="F16"/>
  <c r="F10"/>
  <c r="G118" l="1"/>
  <c r="F118"/>
  <c r="H85" i="35"/>
  <c r="F85"/>
  <c r="E85"/>
  <c r="G84"/>
  <c r="G85" l="1"/>
  <c r="D85"/>
  <c r="H32" i="30"/>
  <c r="F32"/>
  <c r="E32"/>
  <c r="G22"/>
  <c r="D32" l="1"/>
  <c r="G32"/>
  <c r="G8" i="23" l="1"/>
  <c r="F8" i="29" l="1"/>
</calcChain>
</file>

<file path=xl/sharedStrings.xml><?xml version="1.0" encoding="utf-8"?>
<sst xmlns="http://schemas.openxmlformats.org/spreadsheetml/2006/main" count="1057" uniqueCount="396">
  <si>
    <t>CONTR.P</t>
  </si>
  <si>
    <t>FURNIZOR</t>
  </si>
  <si>
    <t>CAPACITATE TEHNICA</t>
  </si>
  <si>
    <t>RESURSE UMANE</t>
  </si>
  <si>
    <t>TOTAL LOGISTICA</t>
  </si>
  <si>
    <t>NR.CRT.</t>
  </si>
  <si>
    <t>SCM POLI-MED APACA</t>
  </si>
  <si>
    <t>CL.MED. HIPOCRAT 2000 SRL</t>
  </si>
  <si>
    <t>IOROVI MEDICA IMPEX SRL</t>
  </si>
  <si>
    <t>INGG ANA ASLAN</t>
  </si>
  <si>
    <t>CM ROMAR SRL</t>
  </si>
  <si>
    <t>TELEMEDICA SA</t>
  </si>
  <si>
    <t>PULS MEDICA SRL</t>
  </si>
  <si>
    <t>ALFA MEDICAL SRL</t>
  </si>
  <si>
    <t>IDS LABORATORIES SRL</t>
  </si>
  <si>
    <t>KORONA MEDCOM SRL</t>
  </si>
  <si>
    <t>SANTEE CONSULT SRL</t>
  </si>
  <si>
    <t>SANADOR SRL</t>
  </si>
  <si>
    <t>MEDICLIN A&amp;M SRL</t>
  </si>
  <si>
    <t>BIO TERRA MED SRL</t>
  </si>
  <si>
    <t>LOTUS MED SRL</t>
  </si>
  <si>
    <t>MED CENTER SRL</t>
  </si>
  <si>
    <t>C.M.I. TUDORACHE DANIELA</t>
  </si>
  <si>
    <t>ALCOS 99 SRL</t>
  </si>
  <si>
    <t>CENTRUL MEDICAL POLIMED SRL</t>
  </si>
  <si>
    <t>DIAMED CENTER SRL</t>
  </si>
  <si>
    <t>LOTUS MEDICA 2002 SRL</t>
  </si>
  <si>
    <t>SCM PAJURA</t>
  </si>
  <si>
    <t>C.M. POP DE BASESTI SRL</t>
  </si>
  <si>
    <t>CENTRUL MEDICAL MED AS 2003</t>
  </si>
  <si>
    <t>HIPERDIA SA</t>
  </si>
  <si>
    <t>CM MEDICLAB SRL</t>
  </si>
  <si>
    <t>CDTM NICOLE SRL</t>
  </si>
  <si>
    <t>CM SF.ALEXANDRU SRL</t>
  </si>
  <si>
    <t>CMI DR.CRAINIC MARIA</t>
  </si>
  <si>
    <t>CLINICA LIL MED SRL</t>
  </si>
  <si>
    <t>MEDICOR INTERNAŢIONAL SRL</t>
  </si>
  <si>
    <t>AUSTROMED CLINIC SRL</t>
  </si>
  <si>
    <t>CENTRUL MEDICAL MATEI BASARAB SRL</t>
  </si>
  <si>
    <t>VALCRI MEDICAL SRL</t>
  </si>
  <si>
    <t>HUMANITAS MEDICAL SRL</t>
  </si>
  <si>
    <t>BINAFARM SRL</t>
  </si>
  <si>
    <t>LIFE MED SRL</t>
  </si>
  <si>
    <t>ŢĂRMUREAN CRISTINA VIORICA</t>
  </si>
  <si>
    <t>VIPER INTERNET SRL</t>
  </si>
  <si>
    <t>STOICA MARIANA</t>
  </si>
  <si>
    <t>ADMEDICA INVEST SRL</t>
  </si>
  <si>
    <t>CLINICA SANTE</t>
  </si>
  <si>
    <t>LABORETICA SRL</t>
  </si>
  <si>
    <t>SIMPTOM SRL</t>
  </si>
  <si>
    <t>ANALITIC LABORMED SRL</t>
  </si>
  <si>
    <t>BIOLUMIMEDICA SRL</t>
  </si>
  <si>
    <t>GRAL MEDICAL SRL</t>
  </si>
  <si>
    <t>INTERNATIONAL MEDICAL</t>
  </si>
  <si>
    <t>Nr.crt.</t>
  </si>
  <si>
    <t>CONTR. P</t>
  </si>
  <si>
    <t>DEN.FURNIZOR</t>
  </si>
  <si>
    <t>PUNCTAJ CAPACITATE TEHNICA</t>
  </si>
  <si>
    <t>PUNCTAJ RESURSE UMANE</t>
  </si>
  <si>
    <t>PUNCTAJ LOGISTICA</t>
  </si>
  <si>
    <t>C.M.I. BĂLŢOI SANDA</t>
  </si>
  <si>
    <t>C.M.I. OLTEANU BOGDAN</t>
  </si>
  <si>
    <t>C.M.I MOROIANU SILVIA</t>
  </si>
  <si>
    <t>C.M.I. VIZITEU SANDA</t>
  </si>
  <si>
    <t>CMI-DR.MOCANU ELENA</t>
  </si>
  <si>
    <t>EUROMEDIC ROMÂNIA SRL</t>
  </si>
  <si>
    <t>MEDIRA</t>
  </si>
  <si>
    <t>CM HUMANITAS SRL</t>
  </si>
  <si>
    <t>ISTRATESCU HORIA</t>
  </si>
  <si>
    <t>COSTACHE CRISTIANA</t>
  </si>
  <si>
    <t>TOTAL</t>
  </si>
  <si>
    <t>APOLO LABORATOR SRL</t>
  </si>
  <si>
    <t>SAN MED 2001 SRL</t>
  </si>
  <si>
    <t>TOTAL RADIOLOGY SRL</t>
  </si>
  <si>
    <t>CM SANATATEA TA SRL</t>
  </si>
  <si>
    <t>CM PANDURI SRL</t>
  </si>
  <si>
    <t>ANATOMIE PATOLOGICA</t>
  </si>
  <si>
    <t>GHENCEA MEDICAL CENTER SRL</t>
  </si>
  <si>
    <t>AIDE SANTE SRL</t>
  </si>
  <si>
    <t>TINOS CLINIC SRL</t>
  </si>
  <si>
    <t>ROMAR DIAGNOSTIC CENTER SRL</t>
  </si>
  <si>
    <t>LABORATOR PRIVAT IANCULUI SRL</t>
  </si>
  <si>
    <t>DISCOVERY CLINIC SRL</t>
  </si>
  <si>
    <t>CM DELFINULUI SRL</t>
  </si>
  <si>
    <t xml:space="preserve">TOTAL  </t>
  </si>
  <si>
    <t>SC CMI DR. IACOBESCU C. ANCA SRL</t>
  </si>
  <si>
    <t>SYNEVO ROMANIA SRL</t>
  </si>
  <si>
    <t>BIO MEDICA INTERNATIONAL SRL</t>
  </si>
  <si>
    <t>GHENCEA MEDICAL CENTER</t>
  </si>
  <si>
    <t>PUNCTAJ DISPONIBILITATE</t>
  </si>
  <si>
    <t>CONTRACTE PARACLINIC</t>
  </si>
  <si>
    <t>CRITERIUL CALITATE</t>
  </si>
  <si>
    <t>MICROMED SRL</t>
  </si>
  <si>
    <t>MED LIFE SRL</t>
  </si>
  <si>
    <t>IXIA MEDICA SRL</t>
  </si>
  <si>
    <t>CM VICTORIA SRL</t>
  </si>
  <si>
    <t>CM SIMONA SRL</t>
  </si>
  <si>
    <t>STANESCU GEORGETA</t>
  </si>
  <si>
    <t>SP.COLENTINA</t>
  </si>
  <si>
    <t>MED-LIFE SRL</t>
  </si>
  <si>
    <t>MED LIFE BUCURESTI SA</t>
  </si>
  <si>
    <t>MEDICOVER HOSPITAL SRL</t>
  </si>
  <si>
    <t>EGO TEST LAB SRL</t>
  </si>
  <si>
    <t>PHOENIX IMAGISTIC CENTER SRL</t>
  </si>
  <si>
    <t>MUNOR CRIS MEDICA SRL</t>
  </si>
  <si>
    <t>SP.COLTEA</t>
  </si>
  <si>
    <t>SC MEDICOVER SRL</t>
  </si>
  <si>
    <t>CMI DR IONESCU ION</t>
  </si>
  <si>
    <t>SP.CL.DE URGENTA "M.S.CURIE"</t>
  </si>
  <si>
    <t xml:space="preserve">TOTAL </t>
  </si>
  <si>
    <t>CRITERIUL EVALUARE</t>
  </si>
  <si>
    <t>CM POLICLINICO DI MONZA SRL</t>
  </si>
  <si>
    <t>EUREKA</t>
  </si>
  <si>
    <t>FUNDATIA VICTOR BABES</t>
  </si>
  <si>
    <t>CDT PROVITA SRL</t>
  </si>
  <si>
    <t>HEALTH SERVICES COMPANY SRL</t>
  </si>
  <si>
    <t>APT MEDICA SRL</t>
  </si>
  <si>
    <t>DELTA HEALTH CARE SRL</t>
  </si>
  <si>
    <t>SC ODELGA OPERATOR SRL</t>
  </si>
  <si>
    <t>SC MEDINST DIAGNOSTIC ROMANO-GERMAN SRL</t>
  </si>
  <si>
    <t>RADIOLOGIE SI IMAGISTICA</t>
  </si>
  <si>
    <t>CL.ROM GERMED SRL</t>
  </si>
  <si>
    <t>ST.LUKAS SRL</t>
  </si>
  <si>
    <t>LABORATOARELE BIOCLINICA SRL</t>
  </si>
  <si>
    <t>SC ANIMA MEDICAL SPECIALITY SRL</t>
  </si>
  <si>
    <t xml:space="preserve">MEDIC LINE BUSINESS HEALTH SRL </t>
  </si>
  <si>
    <t>MILENIUM  DIAGNOSTIC SRL</t>
  </si>
  <si>
    <t>CLINCA POLISANO SRL</t>
  </si>
  <si>
    <t>CRIS MEDICAL SRL</t>
  </si>
  <si>
    <t>FOCUS LAB PLUS SRL</t>
  </si>
  <si>
    <t>MEDICTEST SRL</t>
  </si>
  <si>
    <t>SC C.M.I. MARINESCU DANA SRL</t>
  </si>
  <si>
    <t>LABORATOARELE SYNLAB SRL</t>
  </si>
  <si>
    <t>LABORATOARE ANALIZE MEDICALE</t>
  </si>
  <si>
    <t>CM SANA SRL</t>
  </si>
  <si>
    <t>CENTRUL MEDICAL UNIREA SRL</t>
  </si>
  <si>
    <t>MED EXPERT SRL</t>
  </si>
  <si>
    <t>GRAL MEDICALSRL</t>
  </si>
  <si>
    <t>CLINICA POLISANO SRL</t>
  </si>
  <si>
    <t>SC MEDICAL PRESTIGE SRL</t>
  </si>
  <si>
    <t>ANIMA MEDICAL SERVICES SRL</t>
  </si>
  <si>
    <t>MEDSANA SRL</t>
  </si>
  <si>
    <t>MATE-FIN SRL</t>
  </si>
  <si>
    <t>MEDICALES PREMIUM  SRL</t>
  </si>
  <si>
    <t>MED LIFE BUCURESTI  SRL</t>
  </si>
  <si>
    <t>CONTR. A</t>
  </si>
  <si>
    <t>SR EN ISO/CEI  15189:2007</t>
  </si>
  <si>
    <t>FUNDATIA RENASTEREA</t>
  </si>
  <si>
    <t>ACT ADITIONALE PENTRU RADIOGRAFII DENTARE LA CONTRACTUL DE MEDICINA DENTARA</t>
  </si>
  <si>
    <t>PUNCTAJE CONFORM CRITERII ANEXA 20</t>
  </si>
  <si>
    <t>SC MULTIDENT SRL</t>
  </si>
  <si>
    <t>CMI DR TUCA DAN OVIDIU</t>
  </si>
  <si>
    <t>SC SIKA ALUL MEDICAL SRL</t>
  </si>
  <si>
    <t>SC ROM MED 2000 SRL</t>
  </si>
  <si>
    <t>A0049</t>
  </si>
  <si>
    <t>A0434</t>
  </si>
  <si>
    <t>A0665</t>
  </si>
  <si>
    <t>A0692</t>
  </si>
  <si>
    <t>A0739</t>
  </si>
  <si>
    <t>A0778</t>
  </si>
  <si>
    <t>A0971</t>
  </si>
  <si>
    <t>A1015</t>
  </si>
  <si>
    <t>A1166</t>
  </si>
  <si>
    <t>A1330</t>
  </si>
  <si>
    <t>A1398</t>
  </si>
  <si>
    <t>A1406</t>
  </si>
  <si>
    <t>A1424</t>
  </si>
  <si>
    <t>A1429</t>
  </si>
  <si>
    <t>A1623</t>
  </si>
  <si>
    <t>ACTE ADITIONALE PENTRU ECOGRAFII SI EKG LA CONTRACTELE DE ASISTENTA MEDICALA PRIMARA</t>
  </si>
  <si>
    <t>TIP DE INVESTIGATII CONTRACTAT</t>
  </si>
  <si>
    <t>EKG</t>
  </si>
  <si>
    <t>ALFA MEDICAL SERVICES SRL</t>
  </si>
  <si>
    <t>SC EGO TEST SRL</t>
  </si>
  <si>
    <t>BAUMAN CONSTRUCT SRL</t>
  </si>
  <si>
    <t>SC MNT HEALTHCARE EUROPE SRL</t>
  </si>
  <si>
    <t>SP. N. MALAXA</t>
  </si>
  <si>
    <t>PUNCTAJE CONFORM CRITERII ANEXA 19</t>
  </si>
  <si>
    <t>CM UNIREA SRL</t>
  </si>
  <si>
    <t>CLINICA SF.LUCIA SRL</t>
  </si>
  <si>
    <t>SC MEDICAL DAY SRL</t>
  </si>
  <si>
    <t>SC MARY - CRIS MED SRL</t>
  </si>
  <si>
    <t>ONCO TEAM DIAGNOSTIC SRL</t>
  </si>
  <si>
    <t>SASDID LAB SRL</t>
  </si>
  <si>
    <t>SC MEDICAL EXPERT CLINIC SRL</t>
  </si>
  <si>
    <t>SPITALUL N.MALAXA</t>
  </si>
  <si>
    <t>SP.N.ROBANESCU</t>
  </si>
  <si>
    <t>ZOSTALAB SRL</t>
  </si>
  <si>
    <t>BIOTECH SRL</t>
  </si>
  <si>
    <t>DOMINA SANA SRL</t>
  </si>
  <si>
    <t>CLINICA MICOMI SRL</t>
  </si>
  <si>
    <t>A1323</t>
  </si>
  <si>
    <t>A1604</t>
  </si>
  <si>
    <t>ECOGRAFII ACTE ADITIONALE LA CONTRACTELE DE AMBULATORIU DE SPECIALITATE</t>
  </si>
  <si>
    <t>CONTR.S</t>
  </si>
  <si>
    <t>DENUMIRE FURNIZOR</t>
  </si>
  <si>
    <t>SCM POVERNEI</t>
  </si>
  <si>
    <t>SC CM MATEI BASARAB SRL</t>
  </si>
  <si>
    <t>SC AMICUS MED SRL</t>
  </si>
  <si>
    <t>SC ALEXDOR MEDICAL SRL</t>
  </si>
  <si>
    <t>SC EUROSANITY SRL</t>
  </si>
  <si>
    <t>NOU</t>
  </si>
  <si>
    <t>SP.SF.PANTELIMON</t>
  </si>
  <si>
    <t>SC PERSONAL GENETICS SRL</t>
  </si>
  <si>
    <t>SC TOTAL MEDICAL OZONE SRL</t>
  </si>
  <si>
    <t>SC CM MH SRL</t>
  </si>
  <si>
    <t>SC ALMINA TRADING SRL</t>
  </si>
  <si>
    <t>SC BROTAC LABOR FARM SRL</t>
  </si>
  <si>
    <t>SC MEMORMED SRL</t>
  </si>
  <si>
    <t>SPITALUL CF2</t>
  </si>
  <si>
    <t>INCD VICTOR BABES</t>
  </si>
  <si>
    <t>SOCIETATEA CRESTINA MUNPOSA 94 SRL</t>
  </si>
  <si>
    <t>Participare la scheme de testare a competentei pentru laboratoarele de analize medicale- contract 2015</t>
  </si>
  <si>
    <t>Participare la scheme de testare a competentei pentru laboratoarele de analize medicale- participari 2014- punctaj</t>
  </si>
  <si>
    <t>SC ACT MEDICA  SRL</t>
  </si>
  <si>
    <t>DA</t>
  </si>
  <si>
    <t>CMI DR GAVANESCU MIHAELA</t>
  </si>
  <si>
    <t>A0130</t>
  </si>
  <si>
    <t>CMI DR ADAM SILVIA</t>
  </si>
  <si>
    <t>A0390</t>
  </si>
  <si>
    <t>CENTRUL MEDICAL ROMAR</t>
  </si>
  <si>
    <t xml:space="preserve">CMI DR STANCU MARIANA                       </t>
  </si>
  <si>
    <t>CMI DR GRAJDEANU IOANA</t>
  </si>
  <si>
    <t xml:space="preserve">SC PULS MEDICA SRL       </t>
  </si>
  <si>
    <t>A0906</t>
  </si>
  <si>
    <t>SC SAN MED 2001 SRL</t>
  </si>
  <si>
    <t>CM.SF.ALEXANDRU</t>
  </si>
  <si>
    <t>SC CABINET DANA MED SRL</t>
  </si>
  <si>
    <t>SC MEDICOR INTERNATIONAL SRL</t>
  </si>
  <si>
    <t>A1240</t>
  </si>
  <si>
    <t>SCM PANDELI ANDREI</t>
  </si>
  <si>
    <t>CMI DR UDRESCU MIHAELA</t>
  </si>
  <si>
    <t>CMI DR DIACONU IOANA-ILINCA</t>
  </si>
  <si>
    <t>A1422</t>
  </si>
  <si>
    <t>CMI DR.PECEC RADU ALEXANDRU</t>
  </si>
  <si>
    <t xml:space="preserve">CMI DR STOIAN ALINA-          MADALINA                       </t>
  </si>
  <si>
    <t>A1485</t>
  </si>
  <si>
    <t>SC CENTRUL MEDICAL DELFINULUI SRL</t>
  </si>
  <si>
    <t>A1582</t>
  </si>
  <si>
    <t>CMI DR.SANDU MIHAELA</t>
  </si>
  <si>
    <t>CMI DR SORESCU VICTORIA AURELIA</t>
  </si>
  <si>
    <t xml:space="preserve"> ECO/EKG</t>
  </si>
  <si>
    <t>ECO/EKG</t>
  </si>
  <si>
    <t>ECO</t>
  </si>
  <si>
    <t>S0031</t>
  </si>
  <si>
    <t>CMI DR IORDACHE MELITA</t>
  </si>
  <si>
    <t>S0062</t>
  </si>
  <si>
    <t>CMI DR DIACONESCU LIVIU</t>
  </si>
  <si>
    <t>S0070</t>
  </si>
  <si>
    <t>SCM POLIMED APACA</t>
  </si>
  <si>
    <t>S0116</t>
  </si>
  <si>
    <t>SPITALUL SF IOAN</t>
  </si>
  <si>
    <t>S0126</t>
  </si>
  <si>
    <t>CMI DR STANESCU MARTHA GABRIELA</t>
  </si>
  <si>
    <t>S0135</t>
  </si>
  <si>
    <t>CMI DR BOLOHAN IONUTA MIHAELA</t>
  </si>
  <si>
    <t>S0141</t>
  </si>
  <si>
    <t>IMMCA PROF DR FLORIN BRATILA</t>
  </si>
  <si>
    <t>S0182</t>
  </si>
  <si>
    <t>S0184</t>
  </si>
  <si>
    <t>S0186</t>
  </si>
  <si>
    <t>SPITALUL MS CURIE</t>
  </si>
  <si>
    <t>S0198</t>
  </si>
  <si>
    <t>CMI DR TINTEA LILIANA</t>
  </si>
  <si>
    <t>S0199</t>
  </si>
  <si>
    <t xml:space="preserve">CMI DR GOLDSTEIN DANIELA </t>
  </si>
  <si>
    <t>S0204</t>
  </si>
  <si>
    <t>SPITALUL COLENTINA</t>
  </si>
  <si>
    <t>S0232</t>
  </si>
  <si>
    <t xml:space="preserve">SC ALFA MEDICAL </t>
  </si>
  <si>
    <t>S0237</t>
  </si>
  <si>
    <t xml:space="preserve">SC PULS MEDICA SRL </t>
  </si>
  <si>
    <t>S0246</t>
  </si>
  <si>
    <t>CMI DR TUDOR RODICA</t>
  </si>
  <si>
    <t>S0280</t>
  </si>
  <si>
    <t>SC POEMEDICA SRL</t>
  </si>
  <si>
    <t>S0309</t>
  </si>
  <si>
    <t>CMI DR PLATON ADRIAN</t>
  </si>
  <si>
    <t>S0335</t>
  </si>
  <si>
    <t>CMI DR PARAU CORINA SANDA</t>
  </si>
  <si>
    <t>S0336</t>
  </si>
  <si>
    <t>CMI DR SURDULESCU IULIANA</t>
  </si>
  <si>
    <t>S0346</t>
  </si>
  <si>
    <t xml:space="preserve">CM HUMANITAS </t>
  </si>
  <si>
    <t>S0360</t>
  </si>
  <si>
    <t>S0400</t>
  </si>
  <si>
    <t>CMI DR CONSTANTINESCU MIHAELA</t>
  </si>
  <si>
    <t>S0401</t>
  </si>
  <si>
    <t>CMI DR GHEORGHITA CRISTINA</t>
  </si>
  <si>
    <t>S0404</t>
  </si>
  <si>
    <t>CMI DR TURCAN VIORICA</t>
  </si>
  <si>
    <t>S0424</t>
  </si>
  <si>
    <t>SC TELEMEDICA SRL</t>
  </si>
  <si>
    <t>S0425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</si>
  <si>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</si>
  <si>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</si>
  <si>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</si>
  <si>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</si>
  <si>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</si>
  <si>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</si>
  <si>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</si>
  <si>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</si>
  <si>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</si>
  <si>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 xml:space="preserve">SC ROSANA MEDICAL SRL </t>
  </si>
  <si>
    <t>S0500</t>
  </si>
  <si>
    <t>SC SANYS MEDICA SRL</t>
  </si>
  <si>
    <t>S0503</t>
  </si>
  <si>
    <t>CM MEMENTO MED SRL</t>
  </si>
  <si>
    <t>S0506</t>
  </si>
  <si>
    <t>S0507</t>
  </si>
  <si>
    <t>SC CM POP DE BABESTI</t>
  </si>
  <si>
    <t>S0515</t>
  </si>
  <si>
    <t>CMI DR MURESAN ANCA</t>
  </si>
  <si>
    <t>S0541</t>
  </si>
  <si>
    <t>CMI DR BUCUR CLAUDIA</t>
  </si>
  <si>
    <t>S0553</t>
  </si>
  <si>
    <t>SC GRAL MEDICAL SRL</t>
  </si>
  <si>
    <t>S0576</t>
  </si>
  <si>
    <t>S0588</t>
  </si>
  <si>
    <t>SC INTERNATIONAL MEDICAL CENTER</t>
  </si>
  <si>
    <t>S0590</t>
  </si>
  <si>
    <t>SC SAN MED 2001</t>
  </si>
  <si>
    <t>S0609</t>
  </si>
  <si>
    <t>S0621</t>
  </si>
  <si>
    <t>SC BIOMEDICA INTERNATIONAL SRL</t>
  </si>
  <si>
    <t>S0633</t>
  </si>
  <si>
    <t>SC IDS LABOARTORIES SRL</t>
  </si>
  <si>
    <t>S0635</t>
  </si>
  <si>
    <t>SC GHENCEA MEDICAL</t>
  </si>
  <si>
    <t>S0675</t>
  </si>
  <si>
    <t>FURNDATIA SF SPRIDON VECHI</t>
  </si>
  <si>
    <t>S0709</t>
  </si>
  <si>
    <t xml:space="preserve">AIS CLINC  </t>
  </si>
  <si>
    <t>S0725</t>
  </si>
  <si>
    <t>S0794</t>
  </si>
  <si>
    <t>SC CM PANDURI SRL</t>
  </si>
  <si>
    <t>S0751</t>
  </si>
  <si>
    <t>SPITALUL OBREGIA</t>
  </si>
  <si>
    <t>S0761</t>
  </si>
  <si>
    <t>SC MEDICLINE BUSINESS HEALTH SRL</t>
  </si>
  <si>
    <t>S0774</t>
  </si>
  <si>
    <t>CMI DR VRABIE RALUCA</t>
  </si>
  <si>
    <t>S0775</t>
  </si>
  <si>
    <t xml:space="preserve">CM PRAIN </t>
  </si>
  <si>
    <t>S0780</t>
  </si>
  <si>
    <t xml:space="preserve">SC SIKA ALUL </t>
  </si>
  <si>
    <t>S0790</t>
  </si>
  <si>
    <t>SC IXIA SRL</t>
  </si>
  <si>
    <t>S0804</t>
  </si>
  <si>
    <t xml:space="preserve">SC FIRST MEDICAL CLASS SRL </t>
  </si>
  <si>
    <t>S0825</t>
  </si>
  <si>
    <t>SC BAU MAN CONSTRUCT SRL</t>
  </si>
  <si>
    <t>S0832</t>
  </si>
  <si>
    <t>SC DIAVERUM ROMANIA SRL</t>
  </si>
  <si>
    <t>S0837</t>
  </si>
  <si>
    <t>CMI DR ILIAS CRISTIANA ELENA</t>
  </si>
  <si>
    <t>S0854</t>
  </si>
  <si>
    <t xml:space="preserve">FUNDATIA DR VICTOR BABES </t>
  </si>
  <si>
    <t>S0858</t>
  </si>
  <si>
    <t>SC ROMGERMED VACARESTI SRL</t>
  </si>
  <si>
    <t>S0866</t>
  </si>
  <si>
    <t>SC GYNECOLIFE SRL</t>
  </si>
  <si>
    <t>S0867</t>
  </si>
  <si>
    <t>SC ST. LUKAS CLINIC</t>
  </si>
  <si>
    <t>S0884</t>
  </si>
  <si>
    <t>SC CABINETELE MEDICALE DR. GLUCK SRL</t>
  </si>
  <si>
    <t>S0895</t>
  </si>
  <si>
    <t>SC ENDOCENTER MEDICINA INTEGTRATIVA</t>
  </si>
  <si>
    <t>S0896</t>
  </si>
  <si>
    <t>SC OVER MED MEDICAL CENTER SRL</t>
  </si>
  <si>
    <t>S0900</t>
  </si>
  <si>
    <t xml:space="preserve">SC PROMED SYSTEM </t>
  </si>
  <si>
    <t>S0903</t>
  </si>
  <si>
    <t>S0907</t>
  </si>
  <si>
    <t>SC CM FURTUNA DAN</t>
  </si>
  <si>
    <t>S0914</t>
  </si>
  <si>
    <t>S0917</t>
  </si>
  <si>
    <t xml:space="preserve">SC MNT </t>
  </si>
  <si>
    <t>S0918</t>
  </si>
  <si>
    <t>SC FRESENIUS NEFROCARE SRL</t>
  </si>
  <si>
    <t>CMI DR LAZAR CONTESS RODICA</t>
  </si>
  <si>
    <t>CMI DR PLATON IZABELA CORINA</t>
  </si>
  <si>
    <t>CMI DR RADU VALERIA</t>
  </si>
  <si>
    <t>SC LOTUS MED SRL</t>
  </si>
  <si>
    <t>SC ENDOGASTRO  HEP SRL</t>
  </si>
  <si>
    <t>CMI DR BARBU LIDIA SIMONA</t>
  </si>
  <si>
    <t>30.04.2015</t>
  </si>
  <si>
    <t>FUNDATIA DR.VICTOR BABES</t>
  </si>
  <si>
    <t>SC ELDA IMPEX SRL</t>
  </si>
  <si>
    <t>SC BIOMED SCAN SRL</t>
  </si>
  <si>
    <t>SPITALUL CLINIC DE URGENTA SF.IOAN</t>
  </si>
  <si>
    <t>SC ENDOCENTER MEDICINA INTEGRATIVA SRL</t>
  </si>
  <si>
    <t>Centrul de Medicina Muncii " TOTAL DIAGNOSTIC " SRL</t>
  </si>
  <si>
    <t>SC NICOMED SRL</t>
  </si>
  <si>
    <t>CS RATB</t>
  </si>
  <si>
    <t>SC MEDIC ART SRL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</si>
</sst>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??\ _l_e_i_-;_-@_-"/>
    <numFmt numFmtId="166" formatCode="[$-418]mmmm\-yy;@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1" fillId="0" borderId="0" xfId="0" applyFont="1" applyFill="1" applyBorder="1"/>
    <xf numFmtId="0" fontId="1" fillId="0" borderId="0" xfId="2" applyFont="1" applyFill="1" applyBorder="1"/>
    <xf numFmtId="0" fontId="3" fillId="0" borderId="0" xfId="2" applyFont="1" applyFill="1" applyBorder="1"/>
    <xf numFmtId="0" fontId="1" fillId="0" borderId="1" xfId="0" applyFont="1" applyFill="1" applyBorder="1"/>
    <xf numFmtId="0" fontId="1" fillId="0" borderId="0" xfId="0" applyFont="1" applyFill="1"/>
    <xf numFmtId="43" fontId="1" fillId="0" borderId="1" xfId="1" applyFont="1" applyFill="1" applyBorder="1"/>
    <xf numFmtId="43" fontId="3" fillId="0" borderId="1" xfId="1" applyFont="1" applyFill="1" applyBorder="1"/>
    <xf numFmtId="0" fontId="1" fillId="0" borderId="1" xfId="2" applyFont="1" applyFill="1" applyBorder="1"/>
    <xf numFmtId="0" fontId="1" fillId="0" borderId="0" xfId="2" applyFont="1" applyFill="1"/>
    <xf numFmtId="0" fontId="4" fillId="0" borderId="0" xfId="0" applyFont="1" applyFill="1"/>
    <xf numFmtId="0" fontId="1" fillId="0" borderId="0" xfId="2" applyFill="1"/>
    <xf numFmtId="0" fontId="0" fillId="0" borderId="0" xfId="0" applyFill="1"/>
    <xf numFmtId="0" fontId="1" fillId="0" borderId="0" xfId="2" applyFill="1" applyBorder="1"/>
    <xf numFmtId="0" fontId="4" fillId="0" borderId="0" xfId="2" applyFont="1" applyFill="1" applyBorder="1"/>
    <xf numFmtId="0" fontId="0" fillId="0" borderId="0" xfId="0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/>
    <xf numFmtId="164" fontId="1" fillId="0" borderId="0" xfId="0" applyNumberFormat="1" applyFont="1" applyFill="1"/>
    <xf numFmtId="14" fontId="1" fillId="0" borderId="0" xfId="2" applyNumberFormat="1" applyFont="1" applyFill="1" applyBorder="1"/>
    <xf numFmtId="0" fontId="6" fillId="0" borderId="1" xfId="2" applyFont="1" applyFill="1" applyBorder="1" applyAlignment="1">
      <alignment horizontal="center"/>
    </xf>
    <xf numFmtId="0" fontId="6" fillId="0" borderId="0" xfId="2" applyFont="1" applyFill="1"/>
    <xf numFmtId="0" fontId="6" fillId="0" borderId="0" xfId="0" applyFont="1" applyFill="1" applyBorder="1"/>
    <xf numFmtId="0" fontId="6" fillId="0" borderId="0" xfId="2" applyFont="1" applyFill="1" applyBorder="1"/>
    <xf numFmtId="0" fontId="4" fillId="0" borderId="0" xfId="0" applyFont="1" applyFill="1" applyBorder="1" applyAlignment="1">
      <alignment horizontal="center" wrapText="1"/>
    </xf>
    <xf numFmtId="43" fontId="6" fillId="0" borderId="0" xfId="1" applyFont="1" applyFill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3" fontId="5" fillId="0" borderId="1" xfId="1" applyFont="1" applyFill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165" fontId="1" fillId="0" borderId="1" xfId="1" applyNumberFormat="1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 wrapText="1"/>
    </xf>
    <xf numFmtId="43" fontId="6" fillId="0" borderId="0" xfId="1" applyFont="1" applyFill="1"/>
    <xf numFmtId="43" fontId="4" fillId="0" borderId="1" xfId="1" applyFont="1" applyFill="1" applyBorder="1" applyAlignment="1"/>
    <xf numFmtId="39" fontId="7" fillId="0" borderId="1" xfId="1" applyNumberFormat="1" applyFont="1" applyFill="1" applyBorder="1" applyAlignment="1"/>
    <xf numFmtId="39" fontId="7" fillId="0" borderId="1" xfId="1" applyNumberFormat="1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39" fontId="7" fillId="0" borderId="1" xfId="1" applyNumberFormat="1" applyFont="1" applyFill="1" applyBorder="1" applyAlignment="1" applyProtection="1">
      <alignment wrapText="1"/>
      <protection locked="0"/>
    </xf>
    <xf numFmtId="0" fontId="1" fillId="0" borderId="1" xfId="2" applyFont="1" applyFill="1" applyBorder="1" applyAlignment="1">
      <alignment horizontal="left"/>
    </xf>
    <xf numFmtId="43" fontId="8" fillId="0" borderId="1" xfId="1" applyFont="1" applyFill="1" applyBorder="1"/>
    <xf numFmtId="0" fontId="8" fillId="0" borderId="1" xfId="0" applyFont="1" applyFill="1" applyBorder="1"/>
    <xf numFmtId="0" fontId="8" fillId="0" borderId="1" xfId="2" applyFont="1" applyFill="1" applyBorder="1"/>
    <xf numFmtId="43" fontId="8" fillId="0" borderId="1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2" applyFont="1" applyFill="1" applyBorder="1"/>
    <xf numFmtId="0" fontId="8" fillId="0" borderId="0" xfId="0" applyFont="1" applyFill="1" applyBorder="1" applyAlignment="1">
      <alignment horizontal="left"/>
    </xf>
    <xf numFmtId="0" fontId="1" fillId="0" borderId="1" xfId="3" applyFont="1" applyFill="1" applyBorder="1"/>
    <xf numFmtId="0" fontId="1" fillId="0" borderId="1" xfId="3" applyFont="1" applyFill="1" applyBorder="1" applyAlignment="1">
      <alignment wrapText="1"/>
    </xf>
    <xf numFmtId="39" fontId="9" fillId="0" borderId="1" xfId="1" applyNumberFormat="1" applyFont="1" applyFill="1" applyBorder="1" applyAlignment="1"/>
    <xf numFmtId="0" fontId="3" fillId="0" borderId="0" xfId="0" applyFont="1" applyFill="1"/>
    <xf numFmtId="0" fontId="8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3" fillId="0" borderId="0" xfId="0" applyFont="1" applyFill="1" applyBorder="1"/>
    <xf numFmtId="164" fontId="1" fillId="0" borderId="0" xfId="0" applyNumberFormat="1" applyFont="1" applyFill="1" applyBorder="1"/>
    <xf numFmtId="0" fontId="8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5" fontId="1" fillId="0" borderId="1" xfId="1" applyNumberFormat="1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2" applyFont="1" applyFill="1" applyBorder="1" applyAlignment="1">
      <alignment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0" fontId="3" fillId="0" borderId="4" xfId="0" applyFont="1" applyFill="1" applyBorder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3" fontId="5" fillId="2" borderId="1" xfId="1" applyFont="1" applyFill="1" applyBorder="1"/>
    <xf numFmtId="43" fontId="8" fillId="0" borderId="0" xfId="1" applyFont="1" applyFill="1"/>
    <xf numFmtId="0" fontId="7" fillId="0" borderId="1" xfId="5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3" fontId="8" fillId="0" borderId="1" xfId="1" applyFont="1" applyFill="1" applyBorder="1" applyAlignment="1">
      <alignment horizontal="center"/>
    </xf>
    <xf numFmtId="0" fontId="1" fillId="0" borderId="1" xfId="3" applyFont="1" applyFill="1" applyBorder="1" applyAlignment="1">
      <alignment horizontal="left" wrapText="1"/>
    </xf>
    <xf numFmtId="0" fontId="1" fillId="0" borderId="1" xfId="3" applyFont="1" applyFill="1" applyBorder="1" applyAlignment="1">
      <alignment horizontal="center" wrapText="1"/>
    </xf>
    <xf numFmtId="0" fontId="1" fillId="2" borderId="1" xfId="3" applyFont="1" applyFill="1" applyBorder="1"/>
    <xf numFmtId="0" fontId="1" fillId="0" borderId="1" xfId="6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0" fontId="1" fillId="0" borderId="1" xfId="6" applyFont="1" applyFill="1" applyBorder="1"/>
    <xf numFmtId="43" fontId="5" fillId="0" borderId="1" xfId="1" applyFont="1" applyBorder="1"/>
    <xf numFmtId="0" fontId="0" fillId="0" borderId="0" xfId="0" applyFill="1" applyAlignment="1">
      <alignment horizontal="left" wrapText="1"/>
    </xf>
    <xf numFmtId="0" fontId="1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9" fontId="5" fillId="0" borderId="1" xfId="1" applyNumberFormat="1" applyFont="1" applyFill="1" applyBorder="1"/>
    <xf numFmtId="39" fontId="8" fillId="0" borderId="1" xfId="1" applyNumberFormat="1" applyFont="1" applyFill="1" applyBorder="1"/>
    <xf numFmtId="165" fontId="6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2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7">
    <cellStyle name="Comma" xfId="1" builtinId="3"/>
    <cellStyle name="Normal" xfId="0" builtinId="0"/>
    <cellStyle name="Normal 2" xfId="3"/>
    <cellStyle name="Normal 2 2" xfId="6"/>
    <cellStyle name="Normal 3" xfId="4"/>
    <cellStyle name="Normal_PLAFON RAPORTAT TRIM.II,III 2004" xfId="2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J135"/>
  <sheetViews>
    <sheetView zoomScaleNormal="100" workbookViewId="0">
      <pane ySplit="8" topLeftCell="A114" activePane="bottomLeft" state="frozen"/>
      <selection sqref="A1:XFD1048576"/>
      <selection pane="bottomLeft" sqref="A1:XFD1048576"/>
    </sheetView>
  </sheetViews>
  <sheetFormatPr defaultRowHeight="12.75"/>
  <cols>
    <col min="1" max="1" width="9.140625" style="16"/>
    <col min="2" max="2" width="9.85546875" style="51" customWidth="1"/>
    <col min="3" max="3" width="34.42578125" style="23" customWidth="1"/>
    <col min="4" max="4" width="21.5703125" style="45" customWidth="1"/>
    <col min="5" max="5" width="17.28515625" style="45" customWidth="1"/>
    <col min="6" max="7" width="14" style="16" customWidth="1"/>
    <col min="8" max="8" width="26" style="16" customWidth="1"/>
    <col min="9" max="9" width="25.85546875" style="16" customWidth="1"/>
    <col min="10" max="10" width="28.5703125" style="16" customWidth="1"/>
    <col min="11" max="16384" width="9.140625" style="16"/>
  </cols>
  <sheetData>
    <row r="2" spans="1:10" s="24" customFormat="1">
      <c r="B2" s="49"/>
      <c r="C2" s="25"/>
      <c r="D2" s="27"/>
      <c r="E2" s="27"/>
    </row>
    <row r="3" spans="1:10" s="24" customFormat="1">
      <c r="A3" s="25"/>
      <c r="B3" s="49"/>
      <c r="C3" s="14" t="s">
        <v>133</v>
      </c>
      <c r="D3" s="43"/>
      <c r="E3" s="43"/>
    </row>
    <row r="4" spans="1:10" s="24" customFormat="1">
      <c r="B4" s="49"/>
      <c r="C4" s="26" t="s">
        <v>90</v>
      </c>
      <c r="D4" s="44"/>
      <c r="E4" s="44"/>
    </row>
    <row r="5" spans="1:10" s="24" customFormat="1">
      <c r="B5" s="49"/>
      <c r="C5" s="26"/>
      <c r="D5" s="64" t="s">
        <v>177</v>
      </c>
      <c r="E5" s="44"/>
    </row>
    <row r="6" spans="1:10" s="24" customFormat="1">
      <c r="B6" s="49"/>
      <c r="C6" s="21" t="s">
        <v>386</v>
      </c>
      <c r="D6" s="44"/>
      <c r="E6" s="44"/>
    </row>
    <row r="7" spans="1:10" s="10" customFormat="1" ht="25.5" customHeight="1">
      <c r="A7" s="123" t="s">
        <v>5</v>
      </c>
      <c r="B7" s="124" t="s">
        <v>0</v>
      </c>
      <c r="C7" s="124" t="s">
        <v>1</v>
      </c>
      <c r="D7" s="118" t="s">
        <v>110</v>
      </c>
      <c r="E7" s="119"/>
      <c r="F7" s="119"/>
      <c r="G7" s="120"/>
      <c r="H7" s="121" t="s">
        <v>91</v>
      </c>
      <c r="I7" s="121"/>
      <c r="J7" s="121"/>
    </row>
    <row r="8" spans="1:10" ht="75" customHeight="1">
      <c r="A8" s="123"/>
      <c r="B8" s="124"/>
      <c r="C8" s="124"/>
      <c r="D8" s="46" t="s">
        <v>2</v>
      </c>
      <c r="E8" s="46" t="s">
        <v>3</v>
      </c>
      <c r="F8" s="29" t="s">
        <v>4</v>
      </c>
      <c r="G8" s="112" t="s">
        <v>109</v>
      </c>
      <c r="H8" s="37" t="s">
        <v>146</v>
      </c>
      <c r="I8" s="37" t="s">
        <v>212</v>
      </c>
      <c r="J8" s="37" t="s">
        <v>213</v>
      </c>
    </row>
    <row r="9" spans="1:10" ht="15">
      <c r="A9" s="17">
        <v>1</v>
      </c>
      <c r="B9" s="22">
        <v>2</v>
      </c>
      <c r="C9" s="30" t="s">
        <v>6</v>
      </c>
      <c r="D9" s="48">
        <v>310</v>
      </c>
      <c r="E9" s="48">
        <v>83</v>
      </c>
      <c r="F9" s="47">
        <v>16</v>
      </c>
      <c r="G9" s="63">
        <f t="shared" ref="G9:G72" si="0">F9+E9+D9</f>
        <v>409</v>
      </c>
      <c r="H9" s="63">
        <v>93</v>
      </c>
      <c r="I9" s="63" t="s">
        <v>215</v>
      </c>
      <c r="J9" s="63">
        <v>228</v>
      </c>
    </row>
    <row r="10" spans="1:10" ht="15">
      <c r="A10" s="17">
        <v>2</v>
      </c>
      <c r="B10" s="22">
        <v>6</v>
      </c>
      <c r="C10" s="30" t="s">
        <v>7</v>
      </c>
      <c r="D10" s="48">
        <v>3579</v>
      </c>
      <c r="E10" s="48">
        <v>356.5</v>
      </c>
      <c r="F10" s="47">
        <f>25+12+12</f>
        <v>49</v>
      </c>
      <c r="G10" s="63">
        <f t="shared" si="0"/>
        <v>3984.5</v>
      </c>
      <c r="H10" s="63">
        <f>108+108+92</f>
        <v>308</v>
      </c>
      <c r="I10" s="63" t="s">
        <v>215</v>
      </c>
      <c r="J10" s="63">
        <f>488+476+476</f>
        <v>1440</v>
      </c>
    </row>
    <row r="11" spans="1:10" ht="15">
      <c r="A11" s="17">
        <v>3</v>
      </c>
      <c r="B11" s="22">
        <v>7</v>
      </c>
      <c r="C11" s="39" t="s">
        <v>8</v>
      </c>
      <c r="D11" s="48">
        <v>338</v>
      </c>
      <c r="E11" s="48">
        <v>87.82</v>
      </c>
      <c r="F11" s="47">
        <v>25</v>
      </c>
      <c r="G11" s="63">
        <f t="shared" si="0"/>
        <v>450.82</v>
      </c>
      <c r="H11" s="63">
        <v>103</v>
      </c>
      <c r="I11" s="63" t="s">
        <v>215</v>
      </c>
      <c r="J11" s="63">
        <v>392</v>
      </c>
    </row>
    <row r="12" spans="1:10" s="10" customFormat="1" ht="15">
      <c r="A12" s="17">
        <v>4</v>
      </c>
      <c r="B12" s="22">
        <v>13</v>
      </c>
      <c r="C12" s="22" t="s">
        <v>9</v>
      </c>
      <c r="D12" s="47">
        <v>210.4</v>
      </c>
      <c r="E12" s="47">
        <v>58</v>
      </c>
      <c r="F12" s="47">
        <v>16</v>
      </c>
      <c r="G12" s="63">
        <f t="shared" si="0"/>
        <v>284.39999999999998</v>
      </c>
      <c r="H12" s="63">
        <v>62</v>
      </c>
      <c r="I12" s="63" t="s">
        <v>215</v>
      </c>
      <c r="J12" s="63">
        <v>320</v>
      </c>
    </row>
    <row r="13" spans="1:10" ht="15">
      <c r="A13" s="17">
        <v>5</v>
      </c>
      <c r="B13" s="22">
        <v>27</v>
      </c>
      <c r="C13" s="30" t="s">
        <v>10</v>
      </c>
      <c r="D13" s="48">
        <v>565.20000000000005</v>
      </c>
      <c r="E13" s="48">
        <v>192.5</v>
      </c>
      <c r="F13" s="47">
        <v>25</v>
      </c>
      <c r="G13" s="63">
        <f t="shared" si="0"/>
        <v>782.7</v>
      </c>
      <c r="H13" s="63">
        <v>145</v>
      </c>
      <c r="I13" s="63" t="s">
        <v>215</v>
      </c>
      <c r="J13" s="63">
        <v>436</v>
      </c>
    </row>
    <row r="14" spans="1:10" ht="15">
      <c r="A14" s="17">
        <v>6</v>
      </c>
      <c r="B14" s="22">
        <v>32</v>
      </c>
      <c r="C14" s="30" t="s">
        <v>11</v>
      </c>
      <c r="D14" s="48">
        <v>192.4</v>
      </c>
      <c r="E14" s="48">
        <v>208</v>
      </c>
      <c r="F14" s="47">
        <v>16</v>
      </c>
      <c r="G14" s="63">
        <f t="shared" si="0"/>
        <v>416.4</v>
      </c>
      <c r="H14" s="63">
        <v>111</v>
      </c>
      <c r="I14" s="63" t="s">
        <v>215</v>
      </c>
      <c r="J14" s="63">
        <v>293</v>
      </c>
    </row>
    <row r="15" spans="1:10" ht="15">
      <c r="A15" s="17">
        <v>7</v>
      </c>
      <c r="B15" s="22">
        <v>35</v>
      </c>
      <c r="C15" s="30" t="s">
        <v>86</v>
      </c>
      <c r="D15" s="48">
        <v>963</v>
      </c>
      <c r="E15" s="48">
        <v>385.5</v>
      </c>
      <c r="F15" s="47">
        <v>25</v>
      </c>
      <c r="G15" s="63">
        <f t="shared" si="0"/>
        <v>1373.5</v>
      </c>
      <c r="H15" s="63">
        <v>144</v>
      </c>
      <c r="I15" s="63" t="s">
        <v>215</v>
      </c>
      <c r="J15" s="63">
        <v>646.5</v>
      </c>
    </row>
    <row r="16" spans="1:10" ht="15">
      <c r="A16" s="17">
        <v>8</v>
      </c>
      <c r="B16" s="22">
        <v>37</v>
      </c>
      <c r="C16" s="30" t="s">
        <v>99</v>
      </c>
      <c r="D16" s="48">
        <v>2453.8000000000002</v>
      </c>
      <c r="E16" s="48">
        <v>870</v>
      </c>
      <c r="F16" s="47">
        <f>25+12</f>
        <v>37</v>
      </c>
      <c r="G16" s="63">
        <f t="shared" si="0"/>
        <v>3360.8</v>
      </c>
      <c r="H16" s="63">
        <f>128+156</f>
        <v>284</v>
      </c>
      <c r="I16" s="63" t="s">
        <v>215</v>
      </c>
      <c r="J16" s="63">
        <f>896+896</f>
        <v>1792</v>
      </c>
    </row>
    <row r="17" spans="1:10" ht="15">
      <c r="A17" s="17">
        <v>9</v>
      </c>
      <c r="B17" s="22">
        <v>44</v>
      </c>
      <c r="C17" s="30" t="s">
        <v>12</v>
      </c>
      <c r="D17" s="48">
        <v>878.4</v>
      </c>
      <c r="E17" s="48">
        <v>205</v>
      </c>
      <c r="F17" s="47">
        <v>37</v>
      </c>
      <c r="G17" s="63">
        <f t="shared" si="0"/>
        <v>1120.4000000000001</v>
      </c>
      <c r="H17" s="63">
        <f>141+120</f>
        <v>261</v>
      </c>
      <c r="I17" s="63" t="s">
        <v>215</v>
      </c>
      <c r="J17" s="63">
        <f>524+376</f>
        <v>900</v>
      </c>
    </row>
    <row r="18" spans="1:10" ht="15">
      <c r="A18" s="17">
        <v>10</v>
      </c>
      <c r="B18" s="22">
        <v>46</v>
      </c>
      <c r="C18" s="30" t="s">
        <v>13</v>
      </c>
      <c r="D18" s="48">
        <v>269</v>
      </c>
      <c r="E18" s="48">
        <v>97.5</v>
      </c>
      <c r="F18" s="47">
        <v>25</v>
      </c>
      <c r="G18" s="63">
        <f t="shared" si="0"/>
        <v>391.5</v>
      </c>
      <c r="H18" s="63">
        <v>89</v>
      </c>
      <c r="I18" s="63" t="s">
        <v>215</v>
      </c>
      <c r="J18" s="63">
        <v>396</v>
      </c>
    </row>
    <row r="19" spans="1:10" ht="15">
      <c r="A19" s="17">
        <v>11</v>
      </c>
      <c r="B19" s="22">
        <v>67</v>
      </c>
      <c r="C19" s="30" t="s">
        <v>14</v>
      </c>
      <c r="D19" s="48">
        <v>684</v>
      </c>
      <c r="E19" s="48">
        <v>138</v>
      </c>
      <c r="F19" s="47">
        <v>25</v>
      </c>
      <c r="G19" s="63">
        <f t="shared" si="0"/>
        <v>847</v>
      </c>
      <c r="H19" s="63">
        <v>139</v>
      </c>
      <c r="I19" s="63" t="s">
        <v>215</v>
      </c>
      <c r="J19" s="63">
        <v>560</v>
      </c>
    </row>
    <row r="20" spans="1:10" ht="15">
      <c r="A20" s="17">
        <v>12</v>
      </c>
      <c r="B20" s="22">
        <v>68</v>
      </c>
      <c r="C20" s="30" t="s">
        <v>15</v>
      </c>
      <c r="D20" s="48">
        <v>459.6</v>
      </c>
      <c r="E20" s="48">
        <v>120</v>
      </c>
      <c r="F20" s="47">
        <v>16</v>
      </c>
      <c r="G20" s="63">
        <f t="shared" si="0"/>
        <v>595.6</v>
      </c>
      <c r="H20" s="63">
        <v>97</v>
      </c>
      <c r="I20" s="63" t="s">
        <v>215</v>
      </c>
      <c r="J20" s="63">
        <f>248+132</f>
        <v>380</v>
      </c>
    </row>
    <row r="21" spans="1:10" ht="15">
      <c r="A21" s="17">
        <v>13</v>
      </c>
      <c r="B21" s="22">
        <v>71</v>
      </c>
      <c r="C21" s="30" t="s">
        <v>16</v>
      </c>
      <c r="D21" s="48">
        <v>239.8</v>
      </c>
      <c r="E21" s="48">
        <v>55.5</v>
      </c>
      <c r="F21" s="47">
        <v>14</v>
      </c>
      <c r="G21" s="63">
        <f t="shared" si="0"/>
        <v>309.3</v>
      </c>
      <c r="H21" s="63">
        <v>81</v>
      </c>
      <c r="I21" s="63" t="s">
        <v>215</v>
      </c>
      <c r="J21" s="63">
        <v>72</v>
      </c>
    </row>
    <row r="22" spans="1:10" ht="15">
      <c r="A22" s="17">
        <v>14</v>
      </c>
      <c r="B22" s="22">
        <v>72</v>
      </c>
      <c r="C22" s="30" t="s">
        <v>17</v>
      </c>
      <c r="D22" s="48">
        <v>1495</v>
      </c>
      <c r="E22" s="48">
        <v>574.33000000000004</v>
      </c>
      <c r="F22" s="47">
        <v>37</v>
      </c>
      <c r="G22" s="63">
        <f t="shared" si="0"/>
        <v>2106.33</v>
      </c>
      <c r="H22" s="63">
        <v>143</v>
      </c>
      <c r="I22" s="63" t="s">
        <v>215</v>
      </c>
      <c r="J22" s="63">
        <v>1176</v>
      </c>
    </row>
    <row r="23" spans="1:10" ht="26.25">
      <c r="A23" s="17">
        <v>15</v>
      </c>
      <c r="B23" s="22">
        <v>73</v>
      </c>
      <c r="C23" s="31" t="s">
        <v>211</v>
      </c>
      <c r="D23" s="48">
        <v>145</v>
      </c>
      <c r="E23" s="48">
        <v>58.33</v>
      </c>
      <c r="F23" s="47">
        <v>16</v>
      </c>
      <c r="G23" s="63">
        <f t="shared" si="0"/>
        <v>219.32999999999998</v>
      </c>
      <c r="H23" s="63">
        <v>71</v>
      </c>
      <c r="I23" s="63" t="s">
        <v>215</v>
      </c>
      <c r="J23" s="63">
        <v>312</v>
      </c>
    </row>
    <row r="24" spans="1:10" ht="15">
      <c r="A24" s="17">
        <v>16</v>
      </c>
      <c r="B24" s="22">
        <v>74</v>
      </c>
      <c r="C24" s="30" t="s">
        <v>18</v>
      </c>
      <c r="D24" s="48">
        <v>527.79999999999995</v>
      </c>
      <c r="E24" s="48">
        <v>244</v>
      </c>
      <c r="F24" s="47">
        <v>33</v>
      </c>
      <c r="G24" s="63">
        <f t="shared" si="0"/>
        <v>804.8</v>
      </c>
      <c r="H24" s="63">
        <f>146+146</f>
        <v>292</v>
      </c>
      <c r="I24" s="63" t="s">
        <v>215</v>
      </c>
      <c r="J24" s="63">
        <f>728.5+662.5</f>
        <v>1391</v>
      </c>
    </row>
    <row r="25" spans="1:10" ht="15">
      <c r="A25" s="17">
        <v>17</v>
      </c>
      <c r="B25" s="22">
        <v>76</v>
      </c>
      <c r="C25" s="30" t="s">
        <v>19</v>
      </c>
      <c r="D25" s="48">
        <v>207.8</v>
      </c>
      <c r="E25" s="48">
        <v>69.25</v>
      </c>
      <c r="F25" s="47">
        <v>25</v>
      </c>
      <c r="G25" s="63">
        <f t="shared" si="0"/>
        <v>302.05</v>
      </c>
      <c r="H25" s="63">
        <v>144</v>
      </c>
      <c r="I25" s="63" t="s">
        <v>215</v>
      </c>
      <c r="J25" s="63">
        <v>363</v>
      </c>
    </row>
    <row r="26" spans="1:10" ht="15">
      <c r="A26" s="17">
        <v>18</v>
      </c>
      <c r="B26" s="22">
        <v>81</v>
      </c>
      <c r="C26" s="30" t="s">
        <v>20</v>
      </c>
      <c r="D26" s="48">
        <v>1323</v>
      </c>
      <c r="E26" s="48">
        <f>280.29+5</f>
        <v>285.29000000000002</v>
      </c>
      <c r="F26" s="47">
        <v>33</v>
      </c>
      <c r="G26" s="63">
        <f t="shared" si="0"/>
        <v>1641.29</v>
      </c>
      <c r="H26" s="63">
        <f>121+130</f>
        <v>251</v>
      </c>
      <c r="I26" s="63" t="s">
        <v>215</v>
      </c>
      <c r="J26" s="63">
        <f>484+416</f>
        <v>900</v>
      </c>
    </row>
    <row r="27" spans="1:10" ht="15">
      <c r="A27" s="17">
        <v>19</v>
      </c>
      <c r="B27" s="22">
        <v>82</v>
      </c>
      <c r="C27" s="30" t="s">
        <v>21</v>
      </c>
      <c r="D27" s="48">
        <v>1681.6</v>
      </c>
      <c r="E27" s="48">
        <v>379.43</v>
      </c>
      <c r="F27" s="47">
        <v>25</v>
      </c>
      <c r="G27" s="63">
        <f t="shared" si="0"/>
        <v>2086.0299999999997</v>
      </c>
      <c r="H27" s="63">
        <v>141</v>
      </c>
      <c r="I27" s="63" t="s">
        <v>215</v>
      </c>
      <c r="J27" s="63">
        <f>684-15</f>
        <v>669</v>
      </c>
    </row>
    <row r="28" spans="1:10" ht="15">
      <c r="A28" s="17">
        <v>20</v>
      </c>
      <c r="B28" s="22">
        <v>86</v>
      </c>
      <c r="C28" s="31" t="s">
        <v>130</v>
      </c>
      <c r="D28" s="48">
        <v>586</v>
      </c>
      <c r="E28" s="48">
        <v>86.86</v>
      </c>
      <c r="F28" s="47">
        <v>14</v>
      </c>
      <c r="G28" s="63">
        <f t="shared" si="0"/>
        <v>686.86</v>
      </c>
      <c r="H28" s="63">
        <v>141</v>
      </c>
      <c r="I28" s="63" t="s">
        <v>215</v>
      </c>
      <c r="J28" s="63">
        <v>324.5</v>
      </c>
    </row>
    <row r="29" spans="1:10" ht="15">
      <c r="A29" s="17">
        <v>21</v>
      </c>
      <c r="B29" s="22">
        <v>87</v>
      </c>
      <c r="C29" s="30" t="s">
        <v>22</v>
      </c>
      <c r="D29" s="48">
        <v>53</v>
      </c>
      <c r="E29" s="48">
        <v>55.71</v>
      </c>
      <c r="F29" s="47">
        <v>21</v>
      </c>
      <c r="G29" s="63">
        <f t="shared" si="0"/>
        <v>129.71</v>
      </c>
      <c r="H29" s="63">
        <v>57</v>
      </c>
      <c r="I29" s="63" t="s">
        <v>215</v>
      </c>
      <c r="J29" s="63">
        <v>256</v>
      </c>
    </row>
    <row r="30" spans="1:10" ht="15">
      <c r="A30" s="17">
        <v>22</v>
      </c>
      <c r="B30" s="22">
        <v>89</v>
      </c>
      <c r="C30" s="31" t="s">
        <v>121</v>
      </c>
      <c r="D30" s="48">
        <v>2178.4</v>
      </c>
      <c r="E30" s="48">
        <v>1050.5</v>
      </c>
      <c r="F30" s="47">
        <f>25+12+12+12+12+12</f>
        <v>85</v>
      </c>
      <c r="G30" s="63">
        <f t="shared" si="0"/>
        <v>3313.9</v>
      </c>
      <c r="H30" s="63">
        <f>131+158+149+160+151+148</f>
        <v>897</v>
      </c>
      <c r="I30" s="63" t="s">
        <v>215</v>
      </c>
      <c r="J30" s="63">
        <f>496+496+496+600+496+496</f>
        <v>3080</v>
      </c>
    </row>
    <row r="31" spans="1:10" ht="15">
      <c r="A31" s="17">
        <v>23</v>
      </c>
      <c r="B31" s="22">
        <v>90</v>
      </c>
      <c r="C31" s="30" t="s">
        <v>23</v>
      </c>
      <c r="D31" s="48">
        <v>239</v>
      </c>
      <c r="E31" s="48">
        <v>67.5</v>
      </c>
      <c r="F31" s="47">
        <v>21</v>
      </c>
      <c r="G31" s="63">
        <f t="shared" si="0"/>
        <v>327.5</v>
      </c>
      <c r="H31" s="63">
        <v>109</v>
      </c>
      <c r="I31" s="63" t="s">
        <v>215</v>
      </c>
      <c r="J31" s="63">
        <v>241.5</v>
      </c>
    </row>
    <row r="32" spans="1:10" ht="15">
      <c r="A32" s="17">
        <v>24</v>
      </c>
      <c r="B32" s="22">
        <v>94</v>
      </c>
      <c r="C32" s="30" t="s">
        <v>24</v>
      </c>
      <c r="D32" s="48">
        <v>1824.9</v>
      </c>
      <c r="E32" s="48">
        <f>372.86-15</f>
        <v>357.86</v>
      </c>
      <c r="F32" s="47">
        <v>37</v>
      </c>
      <c r="G32" s="63">
        <f t="shared" si="0"/>
        <v>2219.7600000000002</v>
      </c>
      <c r="H32" s="63">
        <f>132+132</f>
        <v>264</v>
      </c>
      <c r="I32" s="63" t="s">
        <v>215</v>
      </c>
      <c r="J32" s="63">
        <f>740+758</f>
        <v>1498</v>
      </c>
    </row>
    <row r="33" spans="1:10" ht="15">
      <c r="A33" s="17">
        <v>25</v>
      </c>
      <c r="B33" s="22">
        <v>96</v>
      </c>
      <c r="C33" s="39" t="s">
        <v>25</v>
      </c>
      <c r="D33" s="48">
        <v>661.2</v>
      </c>
      <c r="E33" s="48">
        <f>163+4</f>
        <v>167</v>
      </c>
      <c r="F33" s="47">
        <v>37</v>
      </c>
      <c r="G33" s="63">
        <f t="shared" si="0"/>
        <v>865.2</v>
      </c>
      <c r="H33" s="63">
        <v>280</v>
      </c>
      <c r="I33" s="63" t="s">
        <v>215</v>
      </c>
      <c r="J33" s="63">
        <f>476+476+24+24</f>
        <v>1000</v>
      </c>
    </row>
    <row r="34" spans="1:10" ht="15">
      <c r="A34" s="17">
        <v>26</v>
      </c>
      <c r="B34" s="22">
        <v>98</v>
      </c>
      <c r="C34" s="39" t="s">
        <v>105</v>
      </c>
      <c r="D34" s="47">
        <v>499</v>
      </c>
      <c r="E34" s="47">
        <v>255</v>
      </c>
      <c r="F34" s="47">
        <v>16</v>
      </c>
      <c r="G34" s="63">
        <f t="shared" si="0"/>
        <v>770</v>
      </c>
      <c r="H34" s="63">
        <v>116</v>
      </c>
      <c r="I34" s="63" t="s">
        <v>215</v>
      </c>
      <c r="J34" s="63">
        <v>348</v>
      </c>
    </row>
    <row r="35" spans="1:10" ht="15">
      <c r="A35" s="17">
        <v>27</v>
      </c>
      <c r="B35" s="22">
        <v>99</v>
      </c>
      <c r="C35" s="39" t="s">
        <v>26</v>
      </c>
      <c r="D35" s="48">
        <v>593.20000000000005</v>
      </c>
      <c r="E35" s="48">
        <v>116.5</v>
      </c>
      <c r="F35" s="47">
        <v>20</v>
      </c>
      <c r="G35" s="63">
        <f t="shared" si="0"/>
        <v>729.7</v>
      </c>
      <c r="H35" s="63">
        <v>99</v>
      </c>
      <c r="I35" s="63" t="s">
        <v>215</v>
      </c>
      <c r="J35" s="63">
        <v>295</v>
      </c>
    </row>
    <row r="36" spans="1:10" ht="15">
      <c r="A36" s="17">
        <v>28</v>
      </c>
      <c r="B36" s="22">
        <v>101</v>
      </c>
      <c r="C36" s="39" t="s">
        <v>27</v>
      </c>
      <c r="D36" s="48">
        <v>399.4</v>
      </c>
      <c r="E36" s="48">
        <v>131.21</v>
      </c>
      <c r="F36" s="47">
        <v>25</v>
      </c>
      <c r="G36" s="63">
        <f t="shared" si="0"/>
        <v>555.61</v>
      </c>
      <c r="H36" s="63">
        <v>107</v>
      </c>
      <c r="I36" s="63" t="s">
        <v>215</v>
      </c>
      <c r="J36" s="63">
        <v>320</v>
      </c>
    </row>
    <row r="37" spans="1:10" s="10" customFormat="1" ht="15">
      <c r="A37" s="17">
        <v>29</v>
      </c>
      <c r="B37" s="22">
        <v>102</v>
      </c>
      <c r="C37" s="22" t="s">
        <v>96</v>
      </c>
      <c r="D37" s="47">
        <v>1393.4</v>
      </c>
      <c r="E37" s="47">
        <v>263</v>
      </c>
      <c r="F37" s="47">
        <v>28</v>
      </c>
      <c r="G37" s="63">
        <f t="shared" si="0"/>
        <v>1684.4</v>
      </c>
      <c r="H37" s="63">
        <f>137+132</f>
        <v>269</v>
      </c>
      <c r="I37" s="63" t="s">
        <v>215</v>
      </c>
      <c r="J37" s="63">
        <f>592+564</f>
        <v>1156</v>
      </c>
    </row>
    <row r="38" spans="1:10" ht="15">
      <c r="A38" s="17">
        <v>30</v>
      </c>
      <c r="B38" s="22">
        <v>109</v>
      </c>
      <c r="C38" s="39" t="s">
        <v>129</v>
      </c>
      <c r="D38" s="48">
        <f>1083+338</f>
        <v>1421</v>
      </c>
      <c r="E38" s="48">
        <f>315.5+40</f>
        <v>355.5</v>
      </c>
      <c r="F38" s="47">
        <v>37</v>
      </c>
      <c r="G38" s="63">
        <f t="shared" si="0"/>
        <v>1813.5</v>
      </c>
      <c r="H38" s="63">
        <f>125+134</f>
        <v>259</v>
      </c>
      <c r="I38" s="63" t="s">
        <v>215</v>
      </c>
      <c r="J38" s="63">
        <f>515+552</f>
        <v>1067</v>
      </c>
    </row>
    <row r="39" spans="1:10" ht="15">
      <c r="A39" s="17">
        <v>31</v>
      </c>
      <c r="B39" s="22">
        <v>110</v>
      </c>
      <c r="C39" s="39" t="s">
        <v>28</v>
      </c>
      <c r="D39" s="48">
        <v>320.39999999999998</v>
      </c>
      <c r="E39" s="48">
        <v>82.86</v>
      </c>
      <c r="F39" s="47">
        <v>16</v>
      </c>
      <c r="G39" s="63">
        <f t="shared" si="0"/>
        <v>419.26</v>
      </c>
      <c r="H39" s="63">
        <v>115</v>
      </c>
      <c r="I39" s="63" t="s">
        <v>215</v>
      </c>
      <c r="J39" s="63">
        <v>368</v>
      </c>
    </row>
    <row r="40" spans="1:10" ht="15">
      <c r="A40" s="17">
        <v>32</v>
      </c>
      <c r="B40" s="22">
        <v>112</v>
      </c>
      <c r="C40" s="39" t="s">
        <v>29</v>
      </c>
      <c r="D40" s="48">
        <v>5679.78</v>
      </c>
      <c r="E40" s="48">
        <v>773.02</v>
      </c>
      <c r="F40" s="47">
        <f>25+12+12+12+12</f>
        <v>73</v>
      </c>
      <c r="G40" s="63">
        <f t="shared" si="0"/>
        <v>6525.7999999999993</v>
      </c>
      <c r="H40" s="63">
        <f>153+143+141+138+138</f>
        <v>713</v>
      </c>
      <c r="I40" s="63" t="s">
        <v>215</v>
      </c>
      <c r="J40" s="63">
        <f>611.5+628+622+630.5+604</f>
        <v>3096</v>
      </c>
    </row>
    <row r="41" spans="1:10" ht="15">
      <c r="A41" s="17">
        <v>33</v>
      </c>
      <c r="B41" s="22">
        <v>115</v>
      </c>
      <c r="C41" s="39" t="s">
        <v>30</v>
      </c>
      <c r="D41" s="48">
        <v>394</v>
      </c>
      <c r="E41" s="48">
        <v>143.29</v>
      </c>
      <c r="F41" s="47">
        <v>25</v>
      </c>
      <c r="G41" s="63">
        <f t="shared" si="0"/>
        <v>562.29</v>
      </c>
      <c r="H41" s="63">
        <v>109</v>
      </c>
      <c r="I41" s="63" t="s">
        <v>215</v>
      </c>
      <c r="J41" s="63">
        <v>1032</v>
      </c>
    </row>
    <row r="42" spans="1:10" ht="15">
      <c r="A42" s="17">
        <v>34</v>
      </c>
      <c r="B42" s="22">
        <v>116</v>
      </c>
      <c r="C42" s="39" t="s">
        <v>31</v>
      </c>
      <c r="D42" s="48">
        <v>711</v>
      </c>
      <c r="E42" s="48">
        <v>167</v>
      </c>
      <c r="F42" s="47">
        <v>16</v>
      </c>
      <c r="G42" s="63">
        <f t="shared" si="0"/>
        <v>894</v>
      </c>
      <c r="H42" s="63">
        <v>115</v>
      </c>
      <c r="I42" s="63" t="s">
        <v>215</v>
      </c>
      <c r="J42" s="63">
        <v>430</v>
      </c>
    </row>
    <row r="43" spans="1:10" ht="15">
      <c r="A43" s="17">
        <v>35</v>
      </c>
      <c r="B43" s="22">
        <v>117</v>
      </c>
      <c r="C43" s="39" t="s">
        <v>32</v>
      </c>
      <c r="D43" s="48">
        <v>374</v>
      </c>
      <c r="E43" s="48">
        <v>132.71</v>
      </c>
      <c r="F43" s="47">
        <v>21</v>
      </c>
      <c r="G43" s="63">
        <f t="shared" si="0"/>
        <v>527.71</v>
      </c>
      <c r="H43" s="63">
        <v>142</v>
      </c>
      <c r="I43" s="63" t="s">
        <v>215</v>
      </c>
      <c r="J43" s="63">
        <v>396</v>
      </c>
    </row>
    <row r="44" spans="1:10" ht="15">
      <c r="A44" s="17">
        <v>36</v>
      </c>
      <c r="B44" s="22">
        <v>118</v>
      </c>
      <c r="C44" s="39" t="s">
        <v>33</v>
      </c>
      <c r="D44" s="48">
        <v>667.4</v>
      </c>
      <c r="E44" s="48">
        <f>140+16</f>
        <v>156</v>
      </c>
      <c r="F44" s="47">
        <v>25</v>
      </c>
      <c r="G44" s="63">
        <f t="shared" si="0"/>
        <v>848.4</v>
      </c>
      <c r="H44" s="63">
        <v>128</v>
      </c>
      <c r="I44" s="63" t="s">
        <v>215</v>
      </c>
      <c r="J44" s="63">
        <v>480</v>
      </c>
    </row>
    <row r="45" spans="1:10" ht="15">
      <c r="A45" s="17">
        <v>37</v>
      </c>
      <c r="B45" s="22">
        <v>119</v>
      </c>
      <c r="C45" s="39" t="s">
        <v>34</v>
      </c>
      <c r="D45" s="48">
        <v>314</v>
      </c>
      <c r="E45" s="48">
        <v>99.21</v>
      </c>
      <c r="F45" s="47">
        <v>14</v>
      </c>
      <c r="G45" s="63">
        <f t="shared" si="0"/>
        <v>427.21</v>
      </c>
      <c r="H45" s="63">
        <v>143</v>
      </c>
      <c r="I45" s="63" t="s">
        <v>215</v>
      </c>
      <c r="J45" s="63">
        <v>372</v>
      </c>
    </row>
    <row r="46" spans="1:10" ht="15">
      <c r="A46" s="17">
        <v>38</v>
      </c>
      <c r="B46" s="22">
        <v>121</v>
      </c>
      <c r="C46" s="39" t="s">
        <v>35</v>
      </c>
      <c r="D46" s="48">
        <v>279</v>
      </c>
      <c r="E46" s="48">
        <v>145.11000000000001</v>
      </c>
      <c r="F46" s="47">
        <v>25</v>
      </c>
      <c r="G46" s="63">
        <f t="shared" si="0"/>
        <v>449.11</v>
      </c>
      <c r="H46" s="63">
        <v>135</v>
      </c>
      <c r="I46" s="63" t="s">
        <v>215</v>
      </c>
      <c r="J46" s="63">
        <v>460</v>
      </c>
    </row>
    <row r="47" spans="1:10" ht="15">
      <c r="A47" s="17">
        <v>39</v>
      </c>
      <c r="B47" s="22">
        <v>122</v>
      </c>
      <c r="C47" s="39" t="s">
        <v>36</v>
      </c>
      <c r="D47" s="48">
        <v>561.20000000000005</v>
      </c>
      <c r="E47" s="48">
        <v>100</v>
      </c>
      <c r="F47" s="47">
        <v>25</v>
      </c>
      <c r="G47" s="63">
        <f t="shared" si="0"/>
        <v>686.2</v>
      </c>
      <c r="H47" s="63">
        <v>130</v>
      </c>
      <c r="I47" s="63" t="s">
        <v>215</v>
      </c>
      <c r="J47" s="63">
        <v>912</v>
      </c>
    </row>
    <row r="48" spans="1:10" ht="15">
      <c r="A48" s="17">
        <v>40</v>
      </c>
      <c r="B48" s="22">
        <v>123</v>
      </c>
      <c r="C48" s="39" t="s">
        <v>37</v>
      </c>
      <c r="D48" s="48">
        <f>500+188.6</f>
        <v>688.6</v>
      </c>
      <c r="E48" s="48">
        <v>130</v>
      </c>
      <c r="F48" s="47">
        <v>25</v>
      </c>
      <c r="G48" s="63">
        <f t="shared" si="0"/>
        <v>843.6</v>
      </c>
      <c r="H48" s="63">
        <v>142</v>
      </c>
      <c r="I48" s="63" t="s">
        <v>215</v>
      </c>
      <c r="J48" s="63">
        <v>529</v>
      </c>
    </row>
    <row r="49" spans="1:10" ht="26.25">
      <c r="A49" s="17">
        <v>41</v>
      </c>
      <c r="B49" s="22">
        <v>124</v>
      </c>
      <c r="C49" s="39" t="s">
        <v>38</v>
      </c>
      <c r="D49" s="48">
        <v>804.8</v>
      </c>
      <c r="E49" s="48">
        <v>312.05</v>
      </c>
      <c r="F49" s="47">
        <v>25</v>
      </c>
      <c r="G49" s="63">
        <f t="shared" si="0"/>
        <v>1141.8499999999999</v>
      </c>
      <c r="H49" s="63">
        <v>136</v>
      </c>
      <c r="I49" s="63" t="s">
        <v>215</v>
      </c>
      <c r="J49" s="63">
        <v>775</v>
      </c>
    </row>
    <row r="50" spans="1:10" ht="15">
      <c r="A50" s="17">
        <v>42</v>
      </c>
      <c r="B50" s="22">
        <v>125</v>
      </c>
      <c r="C50" s="39" t="s">
        <v>39</v>
      </c>
      <c r="D50" s="48">
        <v>617.84</v>
      </c>
      <c r="E50" s="48">
        <v>136</v>
      </c>
      <c r="F50" s="47">
        <v>21</v>
      </c>
      <c r="G50" s="63">
        <f t="shared" si="0"/>
        <v>774.84</v>
      </c>
      <c r="H50" s="63">
        <v>133</v>
      </c>
      <c r="I50" s="63" t="s">
        <v>215</v>
      </c>
      <c r="J50" s="63">
        <f>1016+40.5</f>
        <v>1056.5</v>
      </c>
    </row>
    <row r="51" spans="1:10" ht="15">
      <c r="A51" s="17">
        <v>43</v>
      </c>
      <c r="B51" s="22">
        <v>127</v>
      </c>
      <c r="C51" s="73" t="s">
        <v>178</v>
      </c>
      <c r="D51" s="48">
        <v>2404.1999999999998</v>
      </c>
      <c r="E51" s="48">
        <v>584.5</v>
      </c>
      <c r="F51" s="47">
        <f>25+12+12</f>
        <v>49</v>
      </c>
      <c r="G51" s="63">
        <f t="shared" si="0"/>
        <v>3037.7</v>
      </c>
      <c r="H51" s="63">
        <f>150+156+112</f>
        <v>418</v>
      </c>
      <c r="I51" s="63" t="s">
        <v>215</v>
      </c>
      <c r="J51" s="63">
        <f>584+412+409+21</f>
        <v>1426</v>
      </c>
    </row>
    <row r="52" spans="1:10" ht="26.25">
      <c r="A52" s="17">
        <v>44</v>
      </c>
      <c r="B52" s="22">
        <v>128</v>
      </c>
      <c r="C52" s="73" t="s">
        <v>391</v>
      </c>
      <c r="D52" s="48">
        <v>134</v>
      </c>
      <c r="E52" s="48">
        <v>52.75</v>
      </c>
      <c r="F52" s="47">
        <v>16</v>
      </c>
      <c r="G52" s="63">
        <f t="shared" si="0"/>
        <v>202.75</v>
      </c>
      <c r="H52" s="63">
        <v>77</v>
      </c>
      <c r="I52" s="63" t="s">
        <v>215</v>
      </c>
      <c r="J52" s="63">
        <v>232</v>
      </c>
    </row>
    <row r="53" spans="1:10" ht="15">
      <c r="A53" s="17">
        <v>45</v>
      </c>
      <c r="B53" s="39">
        <v>132</v>
      </c>
      <c r="C53" s="39" t="s">
        <v>83</v>
      </c>
      <c r="D53" s="48">
        <v>236.4</v>
      </c>
      <c r="E53" s="48">
        <v>87.29</v>
      </c>
      <c r="F53" s="47">
        <v>16</v>
      </c>
      <c r="G53" s="63">
        <f t="shared" si="0"/>
        <v>339.69</v>
      </c>
      <c r="H53" s="63">
        <v>106</v>
      </c>
      <c r="I53" s="63" t="s">
        <v>215</v>
      </c>
      <c r="J53" s="63">
        <v>319</v>
      </c>
    </row>
    <row r="54" spans="1:10" ht="15">
      <c r="A54" s="17">
        <v>46</v>
      </c>
      <c r="B54" s="39">
        <v>136</v>
      </c>
      <c r="C54" s="40" t="s">
        <v>40</v>
      </c>
      <c r="D54" s="48">
        <f>585.4+10</f>
        <v>595.4</v>
      </c>
      <c r="E54" s="48">
        <v>149.71</v>
      </c>
      <c r="F54" s="47">
        <f>21+4</f>
        <v>25</v>
      </c>
      <c r="G54" s="63">
        <f t="shared" si="0"/>
        <v>770.11</v>
      </c>
      <c r="H54" s="63">
        <v>142</v>
      </c>
      <c r="I54" s="63" t="s">
        <v>215</v>
      </c>
      <c r="J54" s="63">
        <f>588+12</f>
        <v>600</v>
      </c>
    </row>
    <row r="55" spans="1:10" ht="15">
      <c r="A55" s="17">
        <v>47</v>
      </c>
      <c r="B55" s="39">
        <v>138</v>
      </c>
      <c r="C55" s="39" t="s">
        <v>41</v>
      </c>
      <c r="D55" s="48">
        <v>611.79999999999995</v>
      </c>
      <c r="E55" s="48">
        <v>80</v>
      </c>
      <c r="F55" s="47">
        <v>25</v>
      </c>
      <c r="G55" s="63">
        <f t="shared" si="0"/>
        <v>716.8</v>
      </c>
      <c r="H55" s="63">
        <v>101</v>
      </c>
      <c r="I55" s="63" t="s">
        <v>215</v>
      </c>
      <c r="J55" s="63">
        <v>344</v>
      </c>
    </row>
    <row r="56" spans="1:10" ht="15">
      <c r="A56" s="17">
        <v>48</v>
      </c>
      <c r="B56" s="39">
        <v>139</v>
      </c>
      <c r="C56" s="39" t="s">
        <v>42</v>
      </c>
      <c r="D56" s="48">
        <v>1145.4000000000001</v>
      </c>
      <c r="E56" s="52">
        <v>205.5</v>
      </c>
      <c r="F56" s="47">
        <v>16</v>
      </c>
      <c r="G56" s="63">
        <f t="shared" si="0"/>
        <v>1366.9</v>
      </c>
      <c r="H56" s="63">
        <v>109</v>
      </c>
      <c r="I56" s="63" t="s">
        <v>215</v>
      </c>
      <c r="J56" s="63">
        <v>368</v>
      </c>
    </row>
    <row r="57" spans="1:10" ht="15">
      <c r="A57" s="17">
        <v>49</v>
      </c>
      <c r="B57" s="39">
        <v>141</v>
      </c>
      <c r="C57" s="41" t="s">
        <v>43</v>
      </c>
      <c r="D57" s="52">
        <v>239</v>
      </c>
      <c r="E57" s="48">
        <v>81.96</v>
      </c>
      <c r="F57" s="47">
        <v>21</v>
      </c>
      <c r="G57" s="63">
        <f t="shared" si="0"/>
        <v>341.96</v>
      </c>
      <c r="H57" s="63">
        <v>122</v>
      </c>
      <c r="I57" s="63" t="s">
        <v>215</v>
      </c>
      <c r="J57" s="63">
        <v>380</v>
      </c>
    </row>
    <row r="58" spans="1:10" ht="15">
      <c r="A58" s="17">
        <v>50</v>
      </c>
      <c r="B58" s="39">
        <v>142</v>
      </c>
      <c r="C58" s="39" t="s">
        <v>44</v>
      </c>
      <c r="D58" s="48">
        <v>519</v>
      </c>
      <c r="E58" s="48">
        <v>332.39</v>
      </c>
      <c r="F58" s="47">
        <v>37</v>
      </c>
      <c r="G58" s="63">
        <f t="shared" si="0"/>
        <v>888.39</v>
      </c>
      <c r="H58" s="63">
        <f>131+158</f>
        <v>289</v>
      </c>
      <c r="I58" s="63" t="s">
        <v>215</v>
      </c>
      <c r="J58" s="63">
        <f>496+599</f>
        <v>1095</v>
      </c>
    </row>
    <row r="59" spans="1:10" ht="15">
      <c r="A59" s="17">
        <v>51</v>
      </c>
      <c r="B59" s="39">
        <v>143</v>
      </c>
      <c r="C59" s="39" t="s">
        <v>128</v>
      </c>
      <c r="D59" s="48">
        <v>847.4</v>
      </c>
      <c r="E59" s="48">
        <f>270+12.5</f>
        <v>282.5</v>
      </c>
      <c r="F59" s="47">
        <v>37</v>
      </c>
      <c r="G59" s="63">
        <f t="shared" si="0"/>
        <v>1166.9000000000001</v>
      </c>
      <c r="H59" s="63">
        <f>137+143</f>
        <v>280</v>
      </c>
      <c r="I59" s="63" t="s">
        <v>215</v>
      </c>
      <c r="J59" s="63">
        <f>646+654+20</f>
        <v>1320</v>
      </c>
    </row>
    <row r="60" spans="1:10" ht="15">
      <c r="A60" s="17">
        <v>52</v>
      </c>
      <c r="B60" s="39">
        <v>147</v>
      </c>
      <c r="C60" s="39" t="s">
        <v>45</v>
      </c>
      <c r="D60" s="48">
        <v>482.4</v>
      </c>
      <c r="E60" s="48">
        <v>80</v>
      </c>
      <c r="F60" s="47">
        <v>16</v>
      </c>
      <c r="G60" s="63">
        <f t="shared" si="0"/>
        <v>578.4</v>
      </c>
      <c r="H60" s="63">
        <v>115</v>
      </c>
      <c r="I60" s="63" t="s">
        <v>215</v>
      </c>
      <c r="J60" s="63">
        <v>332</v>
      </c>
    </row>
    <row r="61" spans="1:10" s="10" customFormat="1" ht="15">
      <c r="A61" s="17">
        <v>53</v>
      </c>
      <c r="B61" s="22">
        <v>151</v>
      </c>
      <c r="C61" s="22" t="s">
        <v>46</v>
      </c>
      <c r="D61" s="47">
        <v>186</v>
      </c>
      <c r="E61" s="47">
        <v>79.14</v>
      </c>
      <c r="F61" s="47">
        <v>21</v>
      </c>
      <c r="G61" s="63">
        <f t="shared" si="0"/>
        <v>286.14</v>
      </c>
      <c r="H61" s="63">
        <v>91</v>
      </c>
      <c r="I61" s="63" t="s">
        <v>215</v>
      </c>
      <c r="J61" s="63">
        <v>408</v>
      </c>
    </row>
    <row r="62" spans="1:10" ht="15">
      <c r="A62" s="17">
        <v>54</v>
      </c>
      <c r="B62" s="22">
        <v>153</v>
      </c>
      <c r="C62" s="22" t="s">
        <v>132</v>
      </c>
      <c r="D62" s="47">
        <v>1073.5999999999999</v>
      </c>
      <c r="E62" s="47">
        <v>262</v>
      </c>
      <c r="F62" s="47">
        <v>25</v>
      </c>
      <c r="G62" s="63">
        <f t="shared" si="0"/>
        <v>1360.6</v>
      </c>
      <c r="H62" s="63">
        <v>148</v>
      </c>
      <c r="I62" s="63" t="s">
        <v>215</v>
      </c>
      <c r="J62" s="63">
        <v>596.5</v>
      </c>
    </row>
    <row r="63" spans="1:10" ht="15">
      <c r="A63" s="17">
        <v>55</v>
      </c>
      <c r="B63" s="39">
        <v>154</v>
      </c>
      <c r="C63" s="22" t="s">
        <v>47</v>
      </c>
      <c r="D63" s="47">
        <v>814.8</v>
      </c>
      <c r="E63" s="47">
        <v>245</v>
      </c>
      <c r="F63" s="47">
        <v>25</v>
      </c>
      <c r="G63" s="63">
        <f t="shared" si="0"/>
        <v>1084.8</v>
      </c>
      <c r="H63" s="63">
        <v>153</v>
      </c>
      <c r="I63" s="63" t="s">
        <v>215</v>
      </c>
      <c r="J63" s="63">
        <v>400</v>
      </c>
    </row>
    <row r="64" spans="1:10" ht="15">
      <c r="A64" s="17">
        <v>56</v>
      </c>
      <c r="B64" s="22">
        <v>155</v>
      </c>
      <c r="C64" s="22" t="s">
        <v>48</v>
      </c>
      <c r="D64" s="47">
        <f>376.22+162.6</f>
        <v>538.82000000000005</v>
      </c>
      <c r="E64" s="47">
        <v>94.5</v>
      </c>
      <c r="F64" s="47">
        <v>25</v>
      </c>
      <c r="G64" s="63">
        <f t="shared" si="0"/>
        <v>658.32</v>
      </c>
      <c r="H64" s="63">
        <v>119</v>
      </c>
      <c r="I64" s="63" t="s">
        <v>215</v>
      </c>
      <c r="J64" s="63">
        <v>1248</v>
      </c>
    </row>
    <row r="65" spans="1:10" ht="15">
      <c r="A65" s="17">
        <v>57</v>
      </c>
      <c r="B65" s="22">
        <v>157</v>
      </c>
      <c r="C65" s="22" t="s">
        <v>49</v>
      </c>
      <c r="D65" s="47">
        <v>53</v>
      </c>
      <c r="E65" s="47">
        <v>101.5</v>
      </c>
      <c r="F65" s="47">
        <v>16</v>
      </c>
      <c r="G65" s="63">
        <f t="shared" si="0"/>
        <v>170.5</v>
      </c>
      <c r="H65" s="63">
        <v>93</v>
      </c>
      <c r="I65" s="63" t="s">
        <v>215</v>
      </c>
      <c r="J65" s="63">
        <v>560</v>
      </c>
    </row>
    <row r="66" spans="1:10" ht="15">
      <c r="A66" s="17">
        <v>58</v>
      </c>
      <c r="B66" s="39">
        <v>158</v>
      </c>
      <c r="C66" s="22" t="s">
        <v>50</v>
      </c>
      <c r="D66" s="47">
        <v>127</v>
      </c>
      <c r="E66" s="47">
        <v>58</v>
      </c>
      <c r="F66" s="47">
        <v>14</v>
      </c>
      <c r="G66" s="63">
        <f t="shared" si="0"/>
        <v>199</v>
      </c>
      <c r="H66" s="63">
        <v>83</v>
      </c>
      <c r="I66" s="63" t="s">
        <v>215</v>
      </c>
      <c r="J66" s="63">
        <v>524</v>
      </c>
    </row>
    <row r="67" spans="1:10" ht="15">
      <c r="A67" s="17">
        <v>59</v>
      </c>
      <c r="B67" s="39">
        <v>164</v>
      </c>
      <c r="C67" s="22" t="s">
        <v>51</v>
      </c>
      <c r="D67" s="47">
        <v>1207.2</v>
      </c>
      <c r="E67" s="47">
        <v>223.5</v>
      </c>
      <c r="F67" s="47">
        <v>33</v>
      </c>
      <c r="G67" s="63">
        <f t="shared" si="0"/>
        <v>1463.7</v>
      </c>
      <c r="H67" s="63">
        <f>127+127</f>
        <v>254</v>
      </c>
      <c r="I67" s="63" t="s">
        <v>215</v>
      </c>
      <c r="J67" s="63">
        <f>877+810</f>
        <v>1687</v>
      </c>
    </row>
    <row r="68" spans="1:10" ht="15">
      <c r="A68" s="17">
        <v>60</v>
      </c>
      <c r="B68" s="22">
        <v>166</v>
      </c>
      <c r="C68" s="22" t="s">
        <v>52</v>
      </c>
      <c r="D68" s="47">
        <f>3540.6+35</f>
        <v>3575.6</v>
      </c>
      <c r="E68" s="47">
        <v>1077</v>
      </c>
      <c r="F68" s="47">
        <f>25+12+12+12+12+12</f>
        <v>85</v>
      </c>
      <c r="G68" s="63">
        <f t="shared" si="0"/>
        <v>4737.6000000000004</v>
      </c>
      <c r="H68" s="63">
        <f>151+144+81+79+126</f>
        <v>581</v>
      </c>
      <c r="I68" s="63" t="s">
        <v>215</v>
      </c>
      <c r="J68" s="63">
        <f>540+540+540+516+540</f>
        <v>2676</v>
      </c>
    </row>
    <row r="69" spans="1:10" ht="15">
      <c r="A69" s="17">
        <v>61</v>
      </c>
      <c r="B69" s="22">
        <v>167</v>
      </c>
      <c r="C69" s="22" t="s">
        <v>53</v>
      </c>
      <c r="D69" s="47">
        <v>460.4</v>
      </c>
      <c r="E69" s="47">
        <v>207.5</v>
      </c>
      <c r="F69" s="47">
        <v>16</v>
      </c>
      <c r="G69" s="63">
        <f t="shared" si="0"/>
        <v>683.9</v>
      </c>
      <c r="H69" s="63">
        <v>118</v>
      </c>
      <c r="I69" s="63" t="s">
        <v>215</v>
      </c>
      <c r="J69" s="63">
        <v>424</v>
      </c>
    </row>
    <row r="70" spans="1:10" ht="15">
      <c r="A70" s="17">
        <v>62</v>
      </c>
      <c r="B70" s="22">
        <v>170</v>
      </c>
      <c r="C70" s="22" t="s">
        <v>127</v>
      </c>
      <c r="D70" s="47">
        <v>746</v>
      </c>
      <c r="E70" s="47">
        <v>253</v>
      </c>
      <c r="F70" s="47">
        <v>25</v>
      </c>
      <c r="G70" s="63">
        <f t="shared" si="0"/>
        <v>1024</v>
      </c>
      <c r="H70" s="63">
        <v>146</v>
      </c>
      <c r="I70" s="63" t="s">
        <v>215</v>
      </c>
      <c r="J70" s="63">
        <v>488</v>
      </c>
    </row>
    <row r="71" spans="1:10" ht="15">
      <c r="A71" s="17">
        <v>63</v>
      </c>
      <c r="B71" s="22">
        <v>180</v>
      </c>
      <c r="C71" s="19" t="s">
        <v>72</v>
      </c>
      <c r="D71" s="47">
        <v>147</v>
      </c>
      <c r="E71" s="47">
        <v>59</v>
      </c>
      <c r="F71" s="47">
        <v>20</v>
      </c>
      <c r="G71" s="63">
        <f t="shared" si="0"/>
        <v>226</v>
      </c>
      <c r="H71" s="63">
        <v>118</v>
      </c>
      <c r="I71" s="63" t="s">
        <v>215</v>
      </c>
      <c r="J71" s="63">
        <v>320</v>
      </c>
    </row>
    <row r="72" spans="1:10" ht="15">
      <c r="A72" s="17">
        <v>64</v>
      </c>
      <c r="B72" s="22">
        <v>182</v>
      </c>
      <c r="C72" s="19" t="s">
        <v>71</v>
      </c>
      <c r="D72" s="47">
        <v>353</v>
      </c>
      <c r="E72" s="47">
        <v>100.5</v>
      </c>
      <c r="F72" s="47">
        <v>21</v>
      </c>
      <c r="G72" s="63">
        <f t="shared" si="0"/>
        <v>474.5</v>
      </c>
      <c r="H72" s="63">
        <v>123</v>
      </c>
      <c r="I72" s="63" t="s">
        <v>215</v>
      </c>
      <c r="J72" s="63">
        <v>335</v>
      </c>
    </row>
    <row r="73" spans="1:10" ht="15">
      <c r="A73" s="17">
        <v>65</v>
      </c>
      <c r="B73" s="22">
        <v>186</v>
      </c>
      <c r="C73" s="18" t="s">
        <v>92</v>
      </c>
      <c r="D73" s="48">
        <v>634</v>
      </c>
      <c r="E73" s="48">
        <v>83.25</v>
      </c>
      <c r="F73" s="47">
        <v>25</v>
      </c>
      <c r="G73" s="63">
        <f t="shared" ref="G73:G117" si="1">F73+E73+D73</f>
        <v>742.25</v>
      </c>
      <c r="H73" s="63">
        <v>147</v>
      </c>
      <c r="I73" s="63" t="s">
        <v>215</v>
      </c>
      <c r="J73" s="63">
        <v>484</v>
      </c>
    </row>
    <row r="74" spans="1:10" ht="15">
      <c r="A74" s="17">
        <v>66</v>
      </c>
      <c r="B74" s="22">
        <v>189</v>
      </c>
      <c r="C74" s="19" t="s">
        <v>75</v>
      </c>
      <c r="D74" s="47">
        <v>1605.6</v>
      </c>
      <c r="E74" s="47">
        <v>296.5</v>
      </c>
      <c r="F74" s="47">
        <v>37</v>
      </c>
      <c r="G74" s="63">
        <f t="shared" si="1"/>
        <v>1939.1</v>
      </c>
      <c r="H74" s="63">
        <f>141+80</f>
        <v>221</v>
      </c>
      <c r="I74" s="63" t="s">
        <v>215</v>
      </c>
      <c r="J74" s="63">
        <f>600+688</f>
        <v>1288</v>
      </c>
    </row>
    <row r="75" spans="1:10" ht="15">
      <c r="A75" s="17">
        <v>67</v>
      </c>
      <c r="B75" s="22">
        <v>191</v>
      </c>
      <c r="C75" s="18" t="s">
        <v>74</v>
      </c>
      <c r="D75" s="48">
        <v>394.2</v>
      </c>
      <c r="E75" s="48">
        <v>149.86000000000001</v>
      </c>
      <c r="F75" s="47">
        <v>16</v>
      </c>
      <c r="G75" s="63">
        <f t="shared" si="1"/>
        <v>560.05999999999995</v>
      </c>
      <c r="H75" s="63">
        <v>70</v>
      </c>
      <c r="I75" s="63" t="s">
        <v>215</v>
      </c>
      <c r="J75" s="63">
        <v>500</v>
      </c>
    </row>
    <row r="76" spans="1:10" ht="15">
      <c r="A76" s="17">
        <v>68</v>
      </c>
      <c r="B76" s="74">
        <v>194</v>
      </c>
      <c r="C76" s="74" t="s">
        <v>200</v>
      </c>
      <c r="D76" s="48">
        <v>232.8</v>
      </c>
      <c r="E76" s="48">
        <v>101.82</v>
      </c>
      <c r="F76" s="47">
        <v>21</v>
      </c>
      <c r="G76" s="63">
        <f t="shared" si="1"/>
        <v>355.62</v>
      </c>
      <c r="H76" s="63">
        <v>94</v>
      </c>
      <c r="I76" s="63" t="s">
        <v>215</v>
      </c>
      <c r="J76" s="63">
        <v>244</v>
      </c>
    </row>
    <row r="77" spans="1:10" ht="15">
      <c r="A77" s="17">
        <v>69</v>
      </c>
      <c r="B77" s="22">
        <v>206</v>
      </c>
      <c r="C77" s="18" t="s">
        <v>126</v>
      </c>
      <c r="D77" s="48">
        <v>1628</v>
      </c>
      <c r="E77" s="48">
        <v>210</v>
      </c>
      <c r="F77" s="47">
        <f>14+12+12+12</f>
        <v>50</v>
      </c>
      <c r="G77" s="63">
        <f t="shared" si="1"/>
        <v>1888</v>
      </c>
      <c r="H77" s="63">
        <f>73+73+112+73</f>
        <v>331</v>
      </c>
      <c r="I77" s="63" t="s">
        <v>215</v>
      </c>
      <c r="J77" s="63">
        <f>412+412+412+412</f>
        <v>1648</v>
      </c>
    </row>
    <row r="78" spans="1:10" ht="15">
      <c r="A78" s="17">
        <v>70</v>
      </c>
      <c r="B78" s="22">
        <v>207</v>
      </c>
      <c r="C78" s="39" t="s">
        <v>77</v>
      </c>
      <c r="D78" s="48">
        <v>370.4</v>
      </c>
      <c r="E78" s="48">
        <v>124</v>
      </c>
      <c r="F78" s="47">
        <v>25</v>
      </c>
      <c r="G78" s="63">
        <f t="shared" si="1"/>
        <v>519.4</v>
      </c>
      <c r="H78" s="63">
        <v>85</v>
      </c>
      <c r="I78" s="63" t="s">
        <v>215</v>
      </c>
      <c r="J78" s="63">
        <f>332</f>
        <v>332</v>
      </c>
    </row>
    <row r="79" spans="1:10" ht="15">
      <c r="A79" s="17">
        <v>71</v>
      </c>
      <c r="B79" s="22">
        <v>208</v>
      </c>
      <c r="C79" s="30" t="s">
        <v>78</v>
      </c>
      <c r="D79" s="48">
        <v>736.2</v>
      </c>
      <c r="E79" s="48">
        <v>122.5</v>
      </c>
      <c r="F79" s="47">
        <v>25</v>
      </c>
      <c r="G79" s="63">
        <f t="shared" si="1"/>
        <v>883.7</v>
      </c>
      <c r="H79" s="63">
        <v>134</v>
      </c>
      <c r="I79" s="63" t="s">
        <v>215</v>
      </c>
      <c r="J79" s="63">
        <v>588</v>
      </c>
    </row>
    <row r="80" spans="1:10" ht="15">
      <c r="A80" s="17">
        <v>72</v>
      </c>
      <c r="B80" s="22">
        <v>211</v>
      </c>
      <c r="C80" s="18" t="s">
        <v>81</v>
      </c>
      <c r="D80" s="48">
        <v>336.8</v>
      </c>
      <c r="E80" s="48">
        <v>118</v>
      </c>
      <c r="F80" s="47">
        <v>16</v>
      </c>
      <c r="G80" s="63">
        <f t="shared" si="1"/>
        <v>470.8</v>
      </c>
      <c r="H80" s="63">
        <v>123</v>
      </c>
      <c r="I80" s="63" t="s">
        <v>215</v>
      </c>
      <c r="J80" s="63">
        <v>360</v>
      </c>
    </row>
    <row r="81" spans="1:10" ht="15">
      <c r="A81" s="17">
        <v>73</v>
      </c>
      <c r="B81" s="22">
        <v>213</v>
      </c>
      <c r="C81" s="18" t="s">
        <v>82</v>
      </c>
      <c r="D81" s="48">
        <v>428.4</v>
      </c>
      <c r="E81" s="48">
        <v>114.5</v>
      </c>
      <c r="F81" s="47">
        <v>20</v>
      </c>
      <c r="G81" s="63">
        <f t="shared" si="1"/>
        <v>562.9</v>
      </c>
      <c r="H81" s="63">
        <v>107</v>
      </c>
      <c r="I81" s="63" t="s">
        <v>215</v>
      </c>
      <c r="J81" s="63">
        <v>364</v>
      </c>
    </row>
    <row r="82" spans="1:10" ht="15">
      <c r="A82" s="17">
        <v>74</v>
      </c>
      <c r="B82" s="22">
        <v>217</v>
      </c>
      <c r="C82" s="18" t="s">
        <v>80</v>
      </c>
      <c r="D82" s="48">
        <v>718.6</v>
      </c>
      <c r="E82" s="48">
        <v>118.29</v>
      </c>
      <c r="F82" s="47">
        <v>25</v>
      </c>
      <c r="G82" s="63">
        <f t="shared" si="1"/>
        <v>861.8900000000001</v>
      </c>
      <c r="H82" s="63">
        <v>139</v>
      </c>
      <c r="I82" s="63" t="s">
        <v>215</v>
      </c>
      <c r="J82" s="63">
        <v>436</v>
      </c>
    </row>
    <row r="83" spans="1:10" ht="15">
      <c r="A83" s="17">
        <v>75</v>
      </c>
      <c r="B83" s="42">
        <v>218</v>
      </c>
      <c r="C83" s="36" t="s">
        <v>79</v>
      </c>
      <c r="D83" s="48">
        <v>403.4</v>
      </c>
      <c r="E83" s="48">
        <v>226.25</v>
      </c>
      <c r="F83" s="47">
        <v>37</v>
      </c>
      <c r="G83" s="63">
        <f t="shared" si="1"/>
        <v>666.65</v>
      </c>
      <c r="H83" s="63">
        <f>89+133</f>
        <v>222</v>
      </c>
      <c r="I83" s="63" t="s">
        <v>215</v>
      </c>
      <c r="J83" s="63">
        <f>344+489</f>
        <v>833</v>
      </c>
    </row>
    <row r="84" spans="1:10" ht="26.25">
      <c r="A84" s="17">
        <v>76</v>
      </c>
      <c r="B84" s="22">
        <v>227</v>
      </c>
      <c r="C84" s="18" t="s">
        <v>85</v>
      </c>
      <c r="D84" s="48">
        <v>361.6</v>
      </c>
      <c r="E84" s="48">
        <v>168.86</v>
      </c>
      <c r="F84" s="47">
        <v>37</v>
      </c>
      <c r="G84" s="63">
        <f t="shared" si="1"/>
        <v>567.46</v>
      </c>
      <c r="H84" s="63">
        <f>124+131</f>
        <v>255</v>
      </c>
      <c r="I84" s="63" t="s">
        <v>215</v>
      </c>
      <c r="J84" s="63">
        <f>496+496</f>
        <v>992</v>
      </c>
    </row>
    <row r="85" spans="1:10" ht="15">
      <c r="A85" s="17">
        <v>77</v>
      </c>
      <c r="B85" s="22">
        <v>228</v>
      </c>
      <c r="C85" s="18" t="s">
        <v>95</v>
      </c>
      <c r="D85" s="48">
        <v>766.22</v>
      </c>
      <c r="E85" s="48">
        <v>188</v>
      </c>
      <c r="F85" s="47">
        <v>25</v>
      </c>
      <c r="G85" s="63">
        <f t="shared" si="1"/>
        <v>979.22</v>
      </c>
      <c r="H85" s="63">
        <v>122</v>
      </c>
      <c r="I85" s="63" t="s">
        <v>215</v>
      </c>
      <c r="J85" s="63">
        <v>564</v>
      </c>
    </row>
    <row r="86" spans="1:10" ht="26.25">
      <c r="A86" s="17">
        <v>78</v>
      </c>
      <c r="B86" s="22">
        <v>229</v>
      </c>
      <c r="C86" s="117" t="s">
        <v>392</v>
      </c>
      <c r="D86" s="48">
        <v>773.64</v>
      </c>
      <c r="E86" s="48">
        <v>131.07</v>
      </c>
      <c r="F86" s="47">
        <v>21</v>
      </c>
      <c r="G86" s="63">
        <f t="shared" si="1"/>
        <v>925.71</v>
      </c>
      <c r="H86" s="63">
        <v>115</v>
      </c>
      <c r="I86" s="63" t="s">
        <v>215</v>
      </c>
      <c r="J86" s="63">
        <v>436</v>
      </c>
    </row>
    <row r="87" spans="1:10" s="10" customFormat="1" ht="15">
      <c r="A87" s="17">
        <v>79</v>
      </c>
      <c r="B87" s="39">
        <v>234</v>
      </c>
      <c r="C87" s="22" t="s">
        <v>125</v>
      </c>
      <c r="D87" s="47">
        <v>460</v>
      </c>
      <c r="E87" s="47">
        <v>118.29</v>
      </c>
      <c r="F87" s="47">
        <v>20</v>
      </c>
      <c r="G87" s="63">
        <f t="shared" si="1"/>
        <v>598.29</v>
      </c>
      <c r="H87" s="63">
        <v>129</v>
      </c>
      <c r="I87" s="63" t="s">
        <v>215</v>
      </c>
      <c r="J87" s="63">
        <v>520</v>
      </c>
    </row>
    <row r="88" spans="1:10" s="10" customFormat="1" ht="15">
      <c r="A88" s="17">
        <v>80</v>
      </c>
      <c r="B88" s="22">
        <v>236</v>
      </c>
      <c r="C88" s="19" t="s">
        <v>124</v>
      </c>
      <c r="D88" s="47">
        <v>1104</v>
      </c>
      <c r="E88" s="47">
        <f>184.29+34.29</f>
        <v>218.57999999999998</v>
      </c>
      <c r="F88" s="47">
        <v>25</v>
      </c>
      <c r="G88" s="63">
        <f t="shared" si="1"/>
        <v>1347.58</v>
      </c>
      <c r="H88" s="63">
        <v>161</v>
      </c>
      <c r="I88" s="63" t="s">
        <v>215</v>
      </c>
      <c r="J88" s="63">
        <v>710</v>
      </c>
    </row>
    <row r="89" spans="1:10" s="10" customFormat="1" ht="15">
      <c r="A89" s="17">
        <v>81</v>
      </c>
      <c r="B89" s="22">
        <v>237</v>
      </c>
      <c r="C89" s="19" t="s">
        <v>94</v>
      </c>
      <c r="D89" s="47">
        <v>955.42</v>
      </c>
      <c r="E89" s="47">
        <v>197</v>
      </c>
      <c r="F89" s="47">
        <v>20</v>
      </c>
      <c r="G89" s="63">
        <f t="shared" si="1"/>
        <v>1172.42</v>
      </c>
      <c r="H89" s="63">
        <v>125</v>
      </c>
      <c r="I89" s="63" t="s">
        <v>215</v>
      </c>
      <c r="J89" s="63">
        <v>524</v>
      </c>
    </row>
    <row r="90" spans="1:10" s="10" customFormat="1" ht="15">
      <c r="A90" s="17">
        <v>82</v>
      </c>
      <c r="B90" s="22">
        <v>238</v>
      </c>
      <c r="C90" s="8" t="s">
        <v>393</v>
      </c>
      <c r="D90" s="47">
        <v>313.2</v>
      </c>
      <c r="E90" s="47">
        <v>99</v>
      </c>
      <c r="F90" s="47">
        <v>16</v>
      </c>
      <c r="G90" s="63">
        <f t="shared" si="1"/>
        <v>428.2</v>
      </c>
      <c r="H90" s="63">
        <v>67</v>
      </c>
      <c r="I90" s="63" t="s">
        <v>215</v>
      </c>
      <c r="J90" s="63">
        <v>439</v>
      </c>
    </row>
    <row r="91" spans="1:10" s="10" customFormat="1" ht="15">
      <c r="A91" s="17">
        <v>83</v>
      </c>
      <c r="B91" s="22">
        <v>239</v>
      </c>
      <c r="C91" s="8" t="s">
        <v>394</v>
      </c>
      <c r="D91" s="47">
        <v>215.6</v>
      </c>
      <c r="E91" s="47">
        <v>147</v>
      </c>
      <c r="F91" s="47">
        <v>4</v>
      </c>
      <c r="G91" s="63">
        <f t="shared" si="1"/>
        <v>366.6</v>
      </c>
      <c r="H91" s="63">
        <v>80</v>
      </c>
      <c r="I91" s="63" t="s">
        <v>215</v>
      </c>
      <c r="J91" s="63">
        <v>208</v>
      </c>
    </row>
    <row r="92" spans="1:10" s="10" customFormat="1" ht="15">
      <c r="A92" s="17">
        <v>84</v>
      </c>
      <c r="B92" s="22">
        <v>244</v>
      </c>
      <c r="C92" s="19" t="s">
        <v>104</v>
      </c>
      <c r="D92" s="47">
        <v>251.8</v>
      </c>
      <c r="E92" s="47">
        <v>91.5</v>
      </c>
      <c r="F92" s="47">
        <v>16</v>
      </c>
      <c r="G92" s="63">
        <f t="shared" si="1"/>
        <v>359.3</v>
      </c>
      <c r="H92" s="63">
        <v>151</v>
      </c>
      <c r="I92" s="63" t="s">
        <v>215</v>
      </c>
      <c r="J92" s="63">
        <v>290</v>
      </c>
    </row>
    <row r="93" spans="1:10" s="10" customFormat="1" ht="15">
      <c r="A93" s="17">
        <v>85</v>
      </c>
      <c r="B93" s="22">
        <v>248</v>
      </c>
      <c r="C93" s="19" t="s">
        <v>100</v>
      </c>
      <c r="D93" s="47">
        <v>805</v>
      </c>
      <c r="E93" s="47">
        <v>175</v>
      </c>
      <c r="F93" s="47">
        <v>25</v>
      </c>
      <c r="G93" s="63">
        <f t="shared" si="1"/>
        <v>1005</v>
      </c>
      <c r="H93" s="63">
        <v>142</v>
      </c>
      <c r="I93" s="63" t="s">
        <v>215</v>
      </c>
      <c r="J93" s="63">
        <v>650</v>
      </c>
    </row>
    <row r="94" spans="1:10" s="10" customFormat="1" ht="15">
      <c r="A94" s="17">
        <v>86</v>
      </c>
      <c r="B94" s="22">
        <v>250</v>
      </c>
      <c r="C94" s="19" t="s">
        <v>102</v>
      </c>
      <c r="D94" s="47">
        <v>1175</v>
      </c>
      <c r="E94" s="47">
        <v>270</v>
      </c>
      <c r="F94" s="47">
        <v>35</v>
      </c>
      <c r="G94" s="63">
        <f t="shared" si="1"/>
        <v>1480</v>
      </c>
      <c r="H94" s="63">
        <f>150+147</f>
        <v>297</v>
      </c>
      <c r="I94" s="63" t="s">
        <v>215</v>
      </c>
      <c r="J94" s="63">
        <v>1118</v>
      </c>
    </row>
    <row r="95" spans="1:10" s="10" customFormat="1" ht="15">
      <c r="A95" s="17">
        <v>87</v>
      </c>
      <c r="B95" s="22">
        <v>252</v>
      </c>
      <c r="C95" s="8" t="s">
        <v>395</v>
      </c>
      <c r="D95" s="47">
        <v>276</v>
      </c>
      <c r="E95" s="47">
        <v>77.5</v>
      </c>
      <c r="F95" s="47">
        <v>20</v>
      </c>
      <c r="G95" s="63">
        <f t="shared" si="1"/>
        <v>373.5</v>
      </c>
      <c r="H95" s="63">
        <v>58</v>
      </c>
      <c r="I95" s="63" t="s">
        <v>215</v>
      </c>
      <c r="J95" s="63">
        <v>260</v>
      </c>
    </row>
    <row r="96" spans="1:10" s="10" customFormat="1" ht="15">
      <c r="A96" s="17">
        <v>88</v>
      </c>
      <c r="B96" s="22">
        <v>253</v>
      </c>
      <c r="C96" s="19" t="s">
        <v>123</v>
      </c>
      <c r="D96" s="47">
        <v>1012.4</v>
      </c>
      <c r="E96" s="47">
        <v>234</v>
      </c>
      <c r="F96" s="47">
        <v>21</v>
      </c>
      <c r="G96" s="63">
        <f t="shared" si="1"/>
        <v>1267.4000000000001</v>
      </c>
      <c r="H96" s="63">
        <f>153+2</f>
        <v>155</v>
      </c>
      <c r="I96" s="63" t="s">
        <v>215</v>
      </c>
      <c r="J96" s="63">
        <f>833-2</f>
        <v>831</v>
      </c>
    </row>
    <row r="97" spans="1:10" s="10" customFormat="1" ht="15">
      <c r="A97" s="17">
        <v>89</v>
      </c>
      <c r="B97" s="22">
        <v>260</v>
      </c>
      <c r="C97" s="19" t="s">
        <v>116</v>
      </c>
      <c r="D97" s="47">
        <v>707.6</v>
      </c>
      <c r="E97" s="47">
        <v>75</v>
      </c>
      <c r="F97" s="47">
        <v>25</v>
      </c>
      <c r="G97" s="63">
        <f t="shared" si="1"/>
        <v>807.6</v>
      </c>
      <c r="H97" s="63">
        <v>147</v>
      </c>
      <c r="I97" s="63" t="s">
        <v>215</v>
      </c>
      <c r="J97" s="63">
        <v>584</v>
      </c>
    </row>
    <row r="98" spans="1:10" s="10" customFormat="1" ht="15">
      <c r="A98" s="17">
        <v>90</v>
      </c>
      <c r="B98" s="22">
        <v>261</v>
      </c>
      <c r="C98" s="19" t="s">
        <v>113</v>
      </c>
      <c r="D98" s="47">
        <v>630.79999999999995</v>
      </c>
      <c r="E98" s="47">
        <v>272.25</v>
      </c>
      <c r="F98" s="47">
        <v>16</v>
      </c>
      <c r="G98" s="63">
        <f t="shared" si="1"/>
        <v>919.05</v>
      </c>
      <c r="H98" s="63">
        <v>143</v>
      </c>
      <c r="I98" s="63" t="s">
        <v>215</v>
      </c>
      <c r="J98" s="63">
        <f>560+2</f>
        <v>562</v>
      </c>
    </row>
    <row r="99" spans="1:10" s="10" customFormat="1" ht="15">
      <c r="A99" s="17">
        <v>91</v>
      </c>
      <c r="B99" s="22">
        <v>262</v>
      </c>
      <c r="C99" s="19" t="s">
        <v>115</v>
      </c>
      <c r="D99" s="47">
        <v>663.6</v>
      </c>
      <c r="E99" s="47">
        <v>110</v>
      </c>
      <c r="F99" s="47">
        <v>25</v>
      </c>
      <c r="G99" s="63">
        <f t="shared" si="1"/>
        <v>798.6</v>
      </c>
      <c r="H99" s="63">
        <v>99</v>
      </c>
      <c r="I99" s="63" t="s">
        <v>215</v>
      </c>
      <c r="J99" s="63">
        <v>684.5</v>
      </c>
    </row>
    <row r="100" spans="1:10" s="10" customFormat="1" ht="15">
      <c r="A100" s="17">
        <v>92</v>
      </c>
      <c r="B100" s="22">
        <v>263</v>
      </c>
      <c r="C100" s="19" t="s">
        <v>122</v>
      </c>
      <c r="D100" s="47">
        <v>191.4</v>
      </c>
      <c r="E100" s="47">
        <v>79.11</v>
      </c>
      <c r="F100" s="47">
        <v>25</v>
      </c>
      <c r="G100" s="63">
        <f t="shared" si="1"/>
        <v>295.51</v>
      </c>
      <c r="H100" s="63">
        <v>130</v>
      </c>
      <c r="I100" s="63" t="s">
        <v>215</v>
      </c>
      <c r="J100" s="63">
        <v>0</v>
      </c>
    </row>
    <row r="101" spans="1:10" s="10" customFormat="1" ht="15">
      <c r="A101" s="17">
        <v>93</v>
      </c>
      <c r="B101" s="22">
        <v>264</v>
      </c>
      <c r="C101" s="31" t="s">
        <v>131</v>
      </c>
      <c r="D101" s="48">
        <v>349.8</v>
      </c>
      <c r="E101" s="48">
        <v>187.46</v>
      </c>
      <c r="F101" s="47">
        <v>37</v>
      </c>
      <c r="G101" s="63">
        <f t="shared" si="1"/>
        <v>574.26</v>
      </c>
      <c r="H101" s="63">
        <f>139+139</f>
        <v>278</v>
      </c>
      <c r="I101" s="63" t="s">
        <v>215</v>
      </c>
      <c r="J101" s="63">
        <f>496+496</f>
        <v>992</v>
      </c>
    </row>
    <row r="102" spans="1:10" s="10" customFormat="1" ht="15">
      <c r="A102" s="17">
        <v>94</v>
      </c>
      <c r="B102" s="22">
        <v>265</v>
      </c>
      <c r="C102" s="31" t="s">
        <v>204</v>
      </c>
      <c r="D102" s="48">
        <v>135.80000000000001</v>
      </c>
      <c r="E102" s="48">
        <v>50</v>
      </c>
      <c r="F102" s="47">
        <v>21</v>
      </c>
      <c r="G102" s="63">
        <f t="shared" si="1"/>
        <v>206.8</v>
      </c>
      <c r="H102" s="63">
        <v>65</v>
      </c>
      <c r="I102" s="63" t="s">
        <v>215</v>
      </c>
      <c r="J102" s="63">
        <v>369</v>
      </c>
    </row>
    <row r="103" spans="1:10" s="10" customFormat="1" ht="15">
      <c r="A103" s="17">
        <v>95</v>
      </c>
      <c r="B103" s="22">
        <v>266</v>
      </c>
      <c r="C103" s="31" t="s">
        <v>179</v>
      </c>
      <c r="D103" s="48">
        <v>242</v>
      </c>
      <c r="E103" s="48">
        <v>124</v>
      </c>
      <c r="F103" s="47">
        <v>37</v>
      </c>
      <c r="G103" s="63">
        <f t="shared" si="1"/>
        <v>403</v>
      </c>
      <c r="H103" s="63">
        <v>138</v>
      </c>
      <c r="I103" s="63" t="s">
        <v>215</v>
      </c>
      <c r="J103" s="63">
        <v>394</v>
      </c>
    </row>
    <row r="104" spans="1:10" s="10" customFormat="1" ht="15">
      <c r="A104" s="17">
        <v>96</v>
      </c>
      <c r="B104" s="22">
        <v>267</v>
      </c>
      <c r="C104" s="31" t="s">
        <v>180</v>
      </c>
      <c r="D104" s="48">
        <f>194.22+192.6</f>
        <v>386.82</v>
      </c>
      <c r="E104" s="48">
        <v>67</v>
      </c>
      <c r="F104" s="47">
        <v>14</v>
      </c>
      <c r="G104" s="63">
        <f t="shared" si="1"/>
        <v>467.82</v>
      </c>
      <c r="H104" s="63">
        <v>70</v>
      </c>
      <c r="I104" s="63" t="s">
        <v>215</v>
      </c>
      <c r="J104" s="63">
        <v>385.5</v>
      </c>
    </row>
    <row r="105" spans="1:10" s="10" customFormat="1" ht="15">
      <c r="A105" s="17">
        <v>97</v>
      </c>
      <c r="B105" s="22">
        <v>268</v>
      </c>
      <c r="C105" s="31" t="s">
        <v>185</v>
      </c>
      <c r="D105" s="48">
        <f>369+33</f>
        <v>402</v>
      </c>
      <c r="E105" s="48">
        <v>235.5</v>
      </c>
      <c r="F105" s="47">
        <v>16</v>
      </c>
      <c r="G105" s="63">
        <f t="shared" si="1"/>
        <v>653.5</v>
      </c>
      <c r="H105" s="63">
        <v>144</v>
      </c>
      <c r="I105" s="63" t="s">
        <v>215</v>
      </c>
      <c r="J105" s="63">
        <v>392</v>
      </c>
    </row>
    <row r="106" spans="1:10" s="10" customFormat="1" ht="15">
      <c r="A106" s="17">
        <v>98</v>
      </c>
      <c r="B106" s="22">
        <v>269</v>
      </c>
      <c r="C106" s="31" t="s">
        <v>187</v>
      </c>
      <c r="D106" s="48">
        <v>176.8</v>
      </c>
      <c r="E106" s="48">
        <v>73</v>
      </c>
      <c r="F106" s="47">
        <v>21</v>
      </c>
      <c r="G106" s="63">
        <f t="shared" si="1"/>
        <v>270.8</v>
      </c>
      <c r="H106" s="63">
        <v>144</v>
      </c>
      <c r="I106" s="63" t="s">
        <v>215</v>
      </c>
      <c r="J106" s="63">
        <v>0</v>
      </c>
    </row>
    <row r="107" spans="1:10" s="10" customFormat="1" ht="15">
      <c r="A107" s="17">
        <v>99</v>
      </c>
      <c r="B107" s="22">
        <v>270</v>
      </c>
      <c r="C107" s="31" t="s">
        <v>186</v>
      </c>
      <c r="D107" s="48">
        <v>209</v>
      </c>
      <c r="E107" s="48">
        <v>89.57</v>
      </c>
      <c r="F107" s="47">
        <v>16</v>
      </c>
      <c r="G107" s="63">
        <f t="shared" si="1"/>
        <v>314.57</v>
      </c>
      <c r="H107" s="63">
        <v>104</v>
      </c>
      <c r="I107" s="63" t="s">
        <v>215</v>
      </c>
      <c r="J107" s="63">
        <v>232</v>
      </c>
    </row>
    <row r="108" spans="1:10" s="10" customFormat="1" ht="15">
      <c r="A108" s="17">
        <v>100</v>
      </c>
      <c r="B108" s="22">
        <v>271</v>
      </c>
      <c r="C108" s="31" t="s">
        <v>188</v>
      </c>
      <c r="D108" s="48">
        <v>825</v>
      </c>
      <c r="E108" s="48">
        <v>101.5</v>
      </c>
      <c r="F108" s="47">
        <v>25</v>
      </c>
      <c r="G108" s="63">
        <f t="shared" si="1"/>
        <v>951.5</v>
      </c>
      <c r="H108" s="63">
        <v>116</v>
      </c>
      <c r="I108" s="63" t="s">
        <v>215</v>
      </c>
      <c r="J108" s="63">
        <v>442.5</v>
      </c>
    </row>
    <row r="109" spans="1:10" s="10" customFormat="1" ht="15">
      <c r="A109" s="17">
        <v>101</v>
      </c>
      <c r="B109" s="22">
        <v>272</v>
      </c>
      <c r="C109" s="31" t="s">
        <v>181</v>
      </c>
      <c r="D109" s="48">
        <v>208</v>
      </c>
      <c r="E109" s="48">
        <v>70.5</v>
      </c>
      <c r="F109" s="47">
        <v>14</v>
      </c>
      <c r="G109" s="63">
        <f t="shared" si="1"/>
        <v>292.5</v>
      </c>
      <c r="H109" s="63">
        <v>133</v>
      </c>
      <c r="I109" s="63" t="s">
        <v>215</v>
      </c>
      <c r="J109" s="63">
        <v>368</v>
      </c>
    </row>
    <row r="110" spans="1:10" s="10" customFormat="1" ht="15">
      <c r="A110" s="17">
        <v>102</v>
      </c>
      <c r="B110" s="22">
        <v>273</v>
      </c>
      <c r="C110" s="31" t="s">
        <v>183</v>
      </c>
      <c r="D110" s="48">
        <v>216.02</v>
      </c>
      <c r="E110" s="48">
        <v>72.5</v>
      </c>
      <c r="F110" s="47">
        <v>21</v>
      </c>
      <c r="G110" s="63">
        <f t="shared" si="1"/>
        <v>309.52</v>
      </c>
      <c r="H110" s="63">
        <v>126</v>
      </c>
      <c r="I110" s="63" t="s">
        <v>215</v>
      </c>
      <c r="J110" s="63">
        <v>464</v>
      </c>
    </row>
    <row r="111" spans="1:10" s="10" customFormat="1" ht="15">
      <c r="A111" s="17">
        <v>103</v>
      </c>
      <c r="B111" s="22">
        <v>274</v>
      </c>
      <c r="C111" s="38" t="s">
        <v>184</v>
      </c>
      <c r="D111" s="48">
        <v>730.7</v>
      </c>
      <c r="E111" s="48">
        <v>102.5</v>
      </c>
      <c r="F111" s="47">
        <v>25</v>
      </c>
      <c r="G111" s="63">
        <f t="shared" si="1"/>
        <v>858.2</v>
      </c>
      <c r="H111" s="63">
        <v>156</v>
      </c>
      <c r="I111" s="63" t="s">
        <v>215</v>
      </c>
      <c r="J111" s="63">
        <v>534</v>
      </c>
    </row>
    <row r="112" spans="1:10" s="10" customFormat="1" ht="15">
      <c r="A112" s="17">
        <v>104</v>
      </c>
      <c r="B112" s="92">
        <v>278</v>
      </c>
      <c r="C112" s="93" t="s">
        <v>205</v>
      </c>
      <c r="D112" s="48">
        <v>497.4</v>
      </c>
      <c r="E112" s="48">
        <v>113</v>
      </c>
      <c r="F112" s="47">
        <v>25</v>
      </c>
      <c r="G112" s="63">
        <f t="shared" si="1"/>
        <v>635.4</v>
      </c>
      <c r="H112" s="63">
        <v>122</v>
      </c>
      <c r="I112" s="63" t="s">
        <v>215</v>
      </c>
      <c r="J112" s="63">
        <v>456</v>
      </c>
    </row>
    <row r="113" spans="1:10" s="10" customFormat="1" ht="15">
      <c r="A113" s="17">
        <v>105</v>
      </c>
      <c r="B113" s="92">
        <v>279</v>
      </c>
      <c r="C113" s="93" t="s">
        <v>206</v>
      </c>
      <c r="D113" s="48">
        <v>180.8</v>
      </c>
      <c r="E113" s="48">
        <v>80</v>
      </c>
      <c r="F113" s="47">
        <v>25</v>
      </c>
      <c r="G113" s="63">
        <f t="shared" si="1"/>
        <v>285.8</v>
      </c>
      <c r="H113" s="63">
        <v>81</v>
      </c>
      <c r="I113" s="63" t="s">
        <v>215</v>
      </c>
      <c r="J113" s="63">
        <v>324</v>
      </c>
    </row>
    <row r="114" spans="1:10" s="10" customFormat="1" ht="15">
      <c r="A114" s="17">
        <v>106</v>
      </c>
      <c r="B114" s="92">
        <v>280</v>
      </c>
      <c r="C114" s="93" t="s">
        <v>207</v>
      </c>
      <c r="D114" s="48">
        <v>458.2</v>
      </c>
      <c r="E114" s="48">
        <v>81.5</v>
      </c>
      <c r="F114" s="47">
        <v>21</v>
      </c>
      <c r="G114" s="63">
        <f t="shared" si="1"/>
        <v>560.70000000000005</v>
      </c>
      <c r="H114" s="63">
        <v>84</v>
      </c>
      <c r="I114" s="63" t="s">
        <v>215</v>
      </c>
      <c r="J114" s="63">
        <v>272</v>
      </c>
    </row>
    <row r="115" spans="1:10" s="10" customFormat="1" ht="15">
      <c r="A115" s="17">
        <v>107</v>
      </c>
      <c r="B115" s="92">
        <v>282</v>
      </c>
      <c r="C115" s="93" t="s">
        <v>209</v>
      </c>
      <c r="D115" s="48">
        <v>647</v>
      </c>
      <c r="E115" s="48">
        <v>219</v>
      </c>
      <c r="F115" s="47">
        <v>16</v>
      </c>
      <c r="G115" s="63">
        <f t="shared" si="1"/>
        <v>882</v>
      </c>
      <c r="H115" s="63">
        <v>96</v>
      </c>
      <c r="I115" s="63" t="s">
        <v>215</v>
      </c>
      <c r="J115" s="63">
        <v>342</v>
      </c>
    </row>
    <row r="116" spans="1:10" s="10" customFormat="1" ht="15">
      <c r="A116" s="17">
        <v>108</v>
      </c>
      <c r="B116" s="92">
        <v>283</v>
      </c>
      <c r="C116" s="93" t="s">
        <v>214</v>
      </c>
      <c r="D116" s="48">
        <v>767</v>
      </c>
      <c r="E116" s="48">
        <v>68.25</v>
      </c>
      <c r="F116" s="47">
        <v>25</v>
      </c>
      <c r="G116" s="63">
        <f t="shared" si="1"/>
        <v>860.25</v>
      </c>
      <c r="H116" s="63">
        <v>164</v>
      </c>
      <c r="I116" s="63" t="s">
        <v>215</v>
      </c>
      <c r="J116" s="63">
        <v>656</v>
      </c>
    </row>
    <row r="117" spans="1:10" s="10" customFormat="1" ht="15">
      <c r="A117" s="17">
        <v>109</v>
      </c>
      <c r="B117" s="92">
        <v>284</v>
      </c>
      <c r="C117" s="92" t="s">
        <v>208</v>
      </c>
      <c r="D117" s="48">
        <v>216.6</v>
      </c>
      <c r="E117" s="48">
        <v>115.71</v>
      </c>
      <c r="F117" s="47">
        <v>20</v>
      </c>
      <c r="G117" s="63">
        <f t="shared" si="1"/>
        <v>352.30999999999995</v>
      </c>
      <c r="H117" s="63">
        <v>134</v>
      </c>
      <c r="I117" s="63" t="s">
        <v>215</v>
      </c>
      <c r="J117" s="63">
        <v>560</v>
      </c>
    </row>
    <row r="118" spans="1:10" s="67" customFormat="1" ht="15.75">
      <c r="A118" s="33"/>
      <c r="B118" s="70"/>
      <c r="C118" s="56" t="s">
        <v>70</v>
      </c>
      <c r="D118" s="54">
        <f t="shared" ref="D118:F118" si="2">SUM(D9:D117)</f>
        <v>79081.36000000003</v>
      </c>
      <c r="E118" s="54">
        <f t="shared" si="2"/>
        <v>20617.199999999997</v>
      </c>
      <c r="F118" s="54">
        <f t="shared" si="2"/>
        <v>2783</v>
      </c>
      <c r="G118" s="54">
        <f>SUM(G9:G117)</f>
        <v>102481.56000000001</v>
      </c>
      <c r="H118" s="54">
        <f t="shared" ref="H118:J118" si="3">SUM(H9:H117)</f>
        <v>17688</v>
      </c>
      <c r="I118" s="54">
        <f t="shared" si="3"/>
        <v>0</v>
      </c>
      <c r="J118" s="54">
        <f t="shared" si="3"/>
        <v>71874</v>
      </c>
    </row>
    <row r="119" spans="1:10" s="24" customFormat="1">
      <c r="B119" s="49"/>
      <c r="C119" s="25"/>
      <c r="D119" s="27"/>
      <c r="E119" s="27"/>
      <c r="F119" s="27"/>
      <c r="G119" s="27"/>
    </row>
    <row r="120" spans="1:10" s="24" customFormat="1">
      <c r="B120" s="49"/>
      <c r="C120" s="25"/>
      <c r="D120" s="27"/>
      <c r="E120" s="27"/>
      <c r="F120" s="27"/>
      <c r="G120" s="27"/>
    </row>
    <row r="121" spans="1:10" s="24" customFormat="1">
      <c r="B121" s="49"/>
      <c r="C121" s="25"/>
      <c r="D121" s="27"/>
      <c r="E121" s="27"/>
      <c r="F121" s="27"/>
      <c r="G121" s="27"/>
    </row>
    <row r="122" spans="1:10" s="24" customFormat="1">
      <c r="B122" s="49"/>
      <c r="C122" s="25"/>
      <c r="D122" s="27"/>
      <c r="E122" s="27"/>
      <c r="F122" s="27"/>
      <c r="G122" s="27"/>
    </row>
    <row r="123" spans="1:10" s="24" customFormat="1">
      <c r="B123" s="50"/>
      <c r="C123" s="14" t="s">
        <v>90</v>
      </c>
      <c r="D123" s="43"/>
      <c r="E123" s="43"/>
      <c r="F123" s="27"/>
      <c r="G123" s="27"/>
    </row>
    <row r="124" spans="1:10" s="24" customFormat="1">
      <c r="B124" s="49"/>
      <c r="C124" s="14" t="s">
        <v>76</v>
      </c>
      <c r="D124" s="43"/>
      <c r="E124" s="43"/>
      <c r="F124" s="27"/>
      <c r="G124" s="27"/>
    </row>
    <row r="125" spans="1:10" s="24" customFormat="1">
      <c r="B125" s="49"/>
      <c r="C125" s="25"/>
      <c r="D125" s="27"/>
      <c r="E125" s="27"/>
      <c r="F125" s="27"/>
      <c r="G125" s="27"/>
    </row>
    <row r="126" spans="1:10" s="10" customFormat="1" ht="25.5" customHeight="1">
      <c r="A126" s="123" t="s">
        <v>5</v>
      </c>
      <c r="B126" s="124" t="s">
        <v>0</v>
      </c>
      <c r="C126" s="124" t="s">
        <v>1</v>
      </c>
      <c r="D126" s="122" t="s">
        <v>110</v>
      </c>
      <c r="E126" s="122"/>
      <c r="F126" s="122"/>
      <c r="G126" s="122"/>
      <c r="H126" s="28" t="s">
        <v>91</v>
      </c>
    </row>
    <row r="127" spans="1:10" ht="66.75" customHeight="1">
      <c r="A127" s="123"/>
      <c r="B127" s="124"/>
      <c r="C127" s="124"/>
      <c r="D127" s="46" t="s">
        <v>2</v>
      </c>
      <c r="E127" s="46" t="s">
        <v>3</v>
      </c>
      <c r="F127" s="29" t="s">
        <v>4</v>
      </c>
      <c r="G127" s="112" t="s">
        <v>109</v>
      </c>
      <c r="H127" s="37" t="s">
        <v>213</v>
      </c>
    </row>
    <row r="128" spans="1:10" ht="25.5" customHeight="1">
      <c r="A128" s="97">
        <v>1</v>
      </c>
      <c r="B128" s="74">
        <v>62</v>
      </c>
      <c r="C128" s="74" t="s">
        <v>210</v>
      </c>
      <c r="D128" s="95">
        <f>127.8-2</f>
        <v>125.8</v>
      </c>
      <c r="E128" s="95">
        <v>308</v>
      </c>
      <c r="F128" s="94">
        <v>16</v>
      </c>
      <c r="G128" s="98">
        <f t="shared" ref="G128:G133" si="4">F128+E128+D128</f>
        <v>449.8</v>
      </c>
      <c r="H128" s="76"/>
    </row>
    <row r="129" spans="1:8" ht="25.5" customHeight="1">
      <c r="A129" s="77">
        <v>2</v>
      </c>
      <c r="B129" s="74">
        <v>114</v>
      </c>
      <c r="C129" s="74" t="s">
        <v>98</v>
      </c>
      <c r="D129" s="95">
        <v>42</v>
      </c>
      <c r="E129" s="95">
        <v>488.29</v>
      </c>
      <c r="F129" s="94">
        <v>6</v>
      </c>
      <c r="G129" s="98">
        <f t="shared" si="4"/>
        <v>536.29</v>
      </c>
      <c r="H129" s="96"/>
    </row>
    <row r="130" spans="1:8" ht="15.75">
      <c r="A130" s="97">
        <v>3</v>
      </c>
      <c r="B130" s="74">
        <v>219</v>
      </c>
      <c r="C130" s="74" t="s">
        <v>189</v>
      </c>
      <c r="D130" s="95">
        <v>13</v>
      </c>
      <c r="E130" s="95">
        <v>75.5</v>
      </c>
      <c r="F130" s="95">
        <v>11</v>
      </c>
      <c r="G130" s="98">
        <f t="shared" si="4"/>
        <v>99.5</v>
      </c>
      <c r="H130" s="95"/>
    </row>
    <row r="131" spans="1:8" ht="15.75">
      <c r="A131" s="77">
        <v>4</v>
      </c>
      <c r="B131" s="74">
        <v>251</v>
      </c>
      <c r="C131" s="31" t="s">
        <v>190</v>
      </c>
      <c r="D131" s="94">
        <f>82+35</f>
        <v>117</v>
      </c>
      <c r="E131" s="94">
        <v>209</v>
      </c>
      <c r="F131" s="95">
        <v>21</v>
      </c>
      <c r="G131" s="98">
        <f t="shared" si="4"/>
        <v>347</v>
      </c>
      <c r="H131" s="95">
        <v>12</v>
      </c>
    </row>
    <row r="132" spans="1:8" ht="15.75">
      <c r="A132" s="97">
        <v>5</v>
      </c>
      <c r="B132" s="74">
        <v>275</v>
      </c>
      <c r="C132" s="31" t="s">
        <v>182</v>
      </c>
      <c r="D132" s="94">
        <f>42+35</f>
        <v>77</v>
      </c>
      <c r="E132" s="94">
        <v>190</v>
      </c>
      <c r="F132" s="95">
        <v>16</v>
      </c>
      <c r="G132" s="98">
        <f t="shared" si="4"/>
        <v>283</v>
      </c>
      <c r="H132" s="95">
        <v>12</v>
      </c>
    </row>
    <row r="133" spans="1:8" ht="15.75">
      <c r="A133" s="77">
        <v>6</v>
      </c>
      <c r="B133" s="74">
        <v>285</v>
      </c>
      <c r="C133" s="31" t="s">
        <v>203</v>
      </c>
      <c r="D133" s="94">
        <v>62</v>
      </c>
      <c r="E133" s="94">
        <v>66.33</v>
      </c>
      <c r="F133" s="95">
        <v>16</v>
      </c>
      <c r="G133" s="98">
        <f t="shared" si="4"/>
        <v>144.32999999999998</v>
      </c>
      <c r="H133" s="95"/>
    </row>
    <row r="134" spans="1:8" ht="26.25">
      <c r="A134" s="97">
        <v>7</v>
      </c>
      <c r="B134" s="74">
        <v>287</v>
      </c>
      <c r="C134" s="79" t="s">
        <v>390</v>
      </c>
      <c r="D134" s="94">
        <v>0</v>
      </c>
      <c r="E134" s="94">
        <v>40</v>
      </c>
      <c r="F134" s="95">
        <v>6</v>
      </c>
      <c r="G134" s="98">
        <f>D134+E134+F134</f>
        <v>46</v>
      </c>
      <c r="H134" s="95">
        <v>0</v>
      </c>
    </row>
    <row r="135" spans="1:8" s="64" customFormat="1" ht="15.75">
      <c r="A135" s="84"/>
      <c r="B135" s="85"/>
      <c r="C135" s="85" t="s">
        <v>70</v>
      </c>
      <c r="D135" s="86">
        <f>SUM(D128:D134)</f>
        <v>436.8</v>
      </c>
      <c r="E135" s="86">
        <f t="shared" ref="E135:H135" si="5">SUM(E128:E134)</f>
        <v>1377.12</v>
      </c>
      <c r="F135" s="86">
        <f t="shared" si="5"/>
        <v>92</v>
      </c>
      <c r="G135" s="86">
        <f t="shared" si="5"/>
        <v>1905.9199999999998</v>
      </c>
      <c r="H135" s="86">
        <f t="shared" si="5"/>
        <v>24</v>
      </c>
    </row>
  </sheetData>
  <autoFilter ref="A7:J118">
    <filterColumn colId="7" showButton="0"/>
    <filterColumn colId="8" showButton="0"/>
  </autoFilter>
  <sortState ref="B9:I114">
    <sortCondition ref="B9:B114"/>
  </sortState>
  <mergeCells count="9">
    <mergeCell ref="D7:G7"/>
    <mergeCell ref="H7:J7"/>
    <mergeCell ref="D126:G126"/>
    <mergeCell ref="A126:A127"/>
    <mergeCell ref="B126:B127"/>
    <mergeCell ref="C126:C127"/>
    <mergeCell ref="A7:A8"/>
    <mergeCell ref="B7:B8"/>
    <mergeCell ref="C7:C8"/>
  </mergeCells>
  <phoneticPr fontId="2" type="noConversion"/>
  <printOptions horizontalCentered="1"/>
  <pageMargins left="0" right="0" top="0.196850393700787" bottom="0.59055118110236204" header="0.118110236220472" footer="0.118110236220472"/>
  <pageSetup paperSize="9" scale="67" fitToHeight="3" orientation="landscape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rgb="FF00B0F0"/>
    <pageSetUpPr fitToPage="1"/>
  </sheetPr>
  <dimension ref="A2:Q71"/>
  <sheetViews>
    <sheetView zoomScaleNormal="100" workbookViewId="0">
      <pane ySplit="7" topLeftCell="A53" activePane="bottomLeft" state="frozen"/>
      <selection sqref="A1:XFD1048576"/>
      <selection pane="bottomLeft" activeCell="H71" sqref="H71"/>
    </sheetView>
  </sheetViews>
  <sheetFormatPr defaultRowHeight="12.75"/>
  <cols>
    <col min="1" max="1" width="9.140625" style="5"/>
    <col min="2" max="2" width="9.85546875" style="80" customWidth="1"/>
    <col min="3" max="3" width="36.28515625" style="9" customWidth="1"/>
    <col min="4" max="4" width="14" style="5" customWidth="1"/>
    <col min="5" max="5" width="12.28515625" style="5" customWidth="1"/>
    <col min="6" max="6" width="12.7109375" style="5" customWidth="1"/>
    <col min="7" max="7" width="14" style="5" customWidth="1"/>
    <col min="8" max="8" width="18.7109375" style="5" customWidth="1"/>
    <col min="9" max="17" width="9.140625" style="1"/>
    <col min="18" max="16384" width="9.140625" style="5"/>
  </cols>
  <sheetData>
    <row r="2" spans="1:17">
      <c r="C2" s="14"/>
    </row>
    <row r="3" spans="1:17" ht="15.75">
      <c r="A3" s="9"/>
      <c r="B3" s="81"/>
      <c r="C3" s="58" t="s">
        <v>120</v>
      </c>
    </row>
    <row r="4" spans="1:17" ht="15.75">
      <c r="A4" s="1"/>
      <c r="B4" s="81"/>
      <c r="C4" s="59" t="s">
        <v>90</v>
      </c>
      <c r="E4" s="64" t="s">
        <v>149</v>
      </c>
    </row>
    <row r="5" spans="1:17" s="1" customFormat="1">
      <c r="B5" s="82"/>
      <c r="C5" s="21"/>
      <c r="E5" s="21" t="s">
        <v>386</v>
      </c>
    </row>
    <row r="6" spans="1:17" ht="12.75" customHeight="1">
      <c r="A6" s="125" t="s">
        <v>54</v>
      </c>
      <c r="B6" s="124" t="s">
        <v>55</v>
      </c>
      <c r="C6" s="126" t="s">
        <v>56</v>
      </c>
      <c r="D6" s="122" t="s">
        <v>110</v>
      </c>
      <c r="E6" s="127"/>
      <c r="F6" s="127"/>
      <c r="G6" s="127"/>
      <c r="H6" s="128" t="s">
        <v>89</v>
      </c>
    </row>
    <row r="7" spans="1:17" s="16" customFormat="1" ht="38.25">
      <c r="A7" s="125"/>
      <c r="B7" s="124"/>
      <c r="C7" s="126"/>
      <c r="D7" s="29" t="s">
        <v>57</v>
      </c>
      <c r="E7" s="29" t="s">
        <v>58</v>
      </c>
      <c r="F7" s="29" t="s">
        <v>59</v>
      </c>
      <c r="G7" s="112" t="s">
        <v>70</v>
      </c>
      <c r="H7" s="129"/>
      <c r="I7" s="24"/>
      <c r="J7" s="24"/>
      <c r="K7" s="24"/>
      <c r="L7" s="24"/>
      <c r="M7" s="24"/>
      <c r="N7" s="24"/>
      <c r="O7" s="24"/>
      <c r="P7" s="24"/>
      <c r="Q7" s="24"/>
    </row>
    <row r="8" spans="1:17" s="16" customFormat="1" ht="15.75">
      <c r="A8" s="17">
        <v>1</v>
      </c>
      <c r="B8" s="74">
        <v>2</v>
      </c>
      <c r="C8" s="34" t="s">
        <v>6</v>
      </c>
      <c r="D8" s="113">
        <v>70.5</v>
      </c>
      <c r="E8" s="113">
        <v>71</v>
      </c>
      <c r="F8" s="113">
        <v>12</v>
      </c>
      <c r="G8" s="114">
        <f>D8+E8+F8</f>
        <v>153.5</v>
      </c>
      <c r="H8" s="114">
        <v>0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s="16" customFormat="1" ht="15.75">
      <c r="A9" s="17">
        <v>2</v>
      </c>
      <c r="B9" s="74">
        <v>6</v>
      </c>
      <c r="C9" s="34" t="s">
        <v>7</v>
      </c>
      <c r="D9" s="113">
        <v>560</v>
      </c>
      <c r="E9" s="113">
        <v>290</v>
      </c>
      <c r="F9" s="113">
        <f>17+12+12+12</f>
        <v>53</v>
      </c>
      <c r="G9" s="114">
        <f t="shared" ref="G9:G64" si="0">D9+E9+F9</f>
        <v>903</v>
      </c>
      <c r="H9" s="114">
        <v>90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s="16" customFormat="1" ht="15.75">
      <c r="A10" s="17">
        <v>3</v>
      </c>
      <c r="B10" s="74">
        <v>13</v>
      </c>
      <c r="C10" s="34" t="s">
        <v>9</v>
      </c>
      <c r="D10" s="113">
        <v>52.5</v>
      </c>
      <c r="E10" s="113">
        <v>48</v>
      </c>
      <c r="F10" s="113">
        <v>12</v>
      </c>
      <c r="G10" s="114">
        <f t="shared" si="0"/>
        <v>112.5</v>
      </c>
      <c r="H10" s="114">
        <v>0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s="16" customFormat="1" ht="15.75">
      <c r="A11" s="17">
        <v>4</v>
      </c>
      <c r="B11" s="74">
        <v>18</v>
      </c>
      <c r="C11" s="34" t="s">
        <v>60</v>
      </c>
      <c r="D11" s="113">
        <v>6</v>
      </c>
      <c r="E11" s="113">
        <v>68</v>
      </c>
      <c r="F11" s="113">
        <v>0</v>
      </c>
      <c r="G11" s="114">
        <f t="shared" si="0"/>
        <v>74</v>
      </c>
      <c r="H11" s="114">
        <v>0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15.75">
      <c r="A12" s="17">
        <v>5</v>
      </c>
      <c r="B12" s="74">
        <v>37</v>
      </c>
      <c r="C12" s="53" t="s">
        <v>93</v>
      </c>
      <c r="D12" s="113">
        <v>975.5</v>
      </c>
      <c r="E12" s="113">
        <v>612</v>
      </c>
      <c r="F12" s="113">
        <f>17+12+12+12+12</f>
        <v>65</v>
      </c>
      <c r="G12" s="114">
        <f t="shared" si="0"/>
        <v>1652.5</v>
      </c>
      <c r="H12" s="114">
        <v>60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s="16" customFormat="1" ht="15.75">
      <c r="A13" s="17">
        <v>6</v>
      </c>
      <c r="B13" s="74">
        <v>44</v>
      </c>
      <c r="C13" s="53" t="s">
        <v>12</v>
      </c>
      <c r="D13" s="113">
        <v>180</v>
      </c>
      <c r="E13" s="113">
        <v>124.67</v>
      </c>
      <c r="F13" s="113">
        <v>17</v>
      </c>
      <c r="G13" s="114">
        <f t="shared" si="0"/>
        <v>321.67</v>
      </c>
      <c r="H13" s="114">
        <v>0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s="16" customFormat="1" ht="26.25">
      <c r="A14" s="17">
        <v>7</v>
      </c>
      <c r="B14" s="74">
        <v>59</v>
      </c>
      <c r="C14" s="71" t="s">
        <v>119</v>
      </c>
      <c r="D14" s="113">
        <v>664</v>
      </c>
      <c r="E14" s="113">
        <v>155.19999999999999</v>
      </c>
      <c r="F14" s="113">
        <v>60</v>
      </c>
      <c r="G14" s="114">
        <f t="shared" si="0"/>
        <v>879.2</v>
      </c>
      <c r="H14" s="114">
        <v>30</v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s="16" customFormat="1" ht="15.75">
      <c r="A15" s="17">
        <v>8</v>
      </c>
      <c r="B15" s="74">
        <v>65</v>
      </c>
      <c r="C15" s="34" t="s">
        <v>61</v>
      </c>
      <c r="D15" s="113">
        <v>74</v>
      </c>
      <c r="E15" s="113">
        <v>46.33</v>
      </c>
      <c r="F15" s="113">
        <v>30</v>
      </c>
      <c r="G15" s="114">
        <f t="shared" si="0"/>
        <v>150.32999999999998</v>
      </c>
      <c r="H15" s="114">
        <v>0</v>
      </c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15.75">
      <c r="A16" s="17">
        <v>9</v>
      </c>
      <c r="B16" s="74">
        <v>67</v>
      </c>
      <c r="C16" s="34" t="s">
        <v>14</v>
      </c>
      <c r="D16" s="113">
        <v>126</v>
      </c>
      <c r="E16" s="113">
        <v>85</v>
      </c>
      <c r="F16" s="113">
        <v>29</v>
      </c>
      <c r="G16" s="114">
        <f t="shared" si="0"/>
        <v>240</v>
      </c>
      <c r="H16" s="114">
        <v>0</v>
      </c>
      <c r="I16" s="24"/>
      <c r="J16" s="24"/>
      <c r="K16" s="24"/>
      <c r="L16" s="24"/>
      <c r="M16" s="24"/>
      <c r="N16" s="24"/>
      <c r="O16" s="24"/>
      <c r="P16" s="24"/>
      <c r="Q16" s="24"/>
    </row>
    <row r="17" spans="1:17" s="16" customFormat="1" ht="15.75">
      <c r="A17" s="17">
        <v>10</v>
      </c>
      <c r="B17" s="74">
        <v>72</v>
      </c>
      <c r="C17" s="34" t="s">
        <v>17</v>
      </c>
      <c r="D17" s="113">
        <f>960.5+442</f>
        <v>1402.5</v>
      </c>
      <c r="E17" s="113">
        <v>575.16999999999996</v>
      </c>
      <c r="F17" s="113">
        <f>35+12+12+12+12</f>
        <v>83</v>
      </c>
      <c r="G17" s="114">
        <f t="shared" si="0"/>
        <v>2060.67</v>
      </c>
      <c r="H17" s="114">
        <v>90</v>
      </c>
      <c r="I17" s="24"/>
      <c r="J17" s="24"/>
      <c r="K17" s="24"/>
      <c r="L17" s="24"/>
      <c r="M17" s="24"/>
      <c r="N17" s="24"/>
      <c r="O17" s="24"/>
      <c r="P17" s="24"/>
      <c r="Q17" s="24"/>
    </row>
    <row r="18" spans="1:17" s="16" customFormat="1" ht="15.75">
      <c r="A18" s="17">
        <v>11</v>
      </c>
      <c r="B18" s="74">
        <v>84</v>
      </c>
      <c r="C18" s="34" t="s">
        <v>62</v>
      </c>
      <c r="D18" s="113">
        <v>3</v>
      </c>
      <c r="E18" s="113">
        <v>68</v>
      </c>
      <c r="F18" s="113">
        <v>7</v>
      </c>
      <c r="G18" s="114">
        <f t="shared" si="0"/>
        <v>78</v>
      </c>
      <c r="H18" s="114">
        <v>0</v>
      </c>
      <c r="I18" s="24"/>
      <c r="J18" s="24"/>
      <c r="K18" s="24"/>
      <c r="L18" s="24"/>
      <c r="M18" s="24"/>
      <c r="N18" s="24"/>
      <c r="O18" s="24"/>
      <c r="P18" s="24"/>
      <c r="Q18" s="24"/>
    </row>
    <row r="19" spans="1:17" s="16" customFormat="1" ht="15.75">
      <c r="A19" s="17">
        <v>12</v>
      </c>
      <c r="B19" s="74">
        <v>85</v>
      </c>
      <c r="C19" s="34" t="s">
        <v>63</v>
      </c>
      <c r="D19" s="113">
        <v>34.5</v>
      </c>
      <c r="E19" s="113">
        <v>56</v>
      </c>
      <c r="F19" s="113">
        <v>0</v>
      </c>
      <c r="G19" s="114">
        <f t="shared" si="0"/>
        <v>90.5</v>
      </c>
      <c r="H19" s="114">
        <v>0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15.75">
      <c r="A20" s="17">
        <v>13</v>
      </c>
      <c r="B20" s="74">
        <v>92</v>
      </c>
      <c r="C20" s="35" t="s">
        <v>64</v>
      </c>
      <c r="D20" s="113">
        <v>1</v>
      </c>
      <c r="E20" s="113">
        <v>70</v>
      </c>
      <c r="F20" s="113">
        <v>0</v>
      </c>
      <c r="G20" s="114">
        <f t="shared" si="0"/>
        <v>71</v>
      </c>
      <c r="H20" s="114">
        <v>0</v>
      </c>
      <c r="I20" s="24"/>
      <c r="J20" s="24"/>
      <c r="K20" s="24"/>
      <c r="L20" s="24"/>
      <c r="M20" s="24"/>
      <c r="N20" s="24"/>
      <c r="O20" s="24"/>
      <c r="P20" s="24"/>
      <c r="Q20" s="24"/>
    </row>
    <row r="21" spans="1:17" s="16" customFormat="1" ht="15.75">
      <c r="A21" s="17">
        <v>14</v>
      </c>
      <c r="B21" s="74">
        <v>98</v>
      </c>
      <c r="C21" s="53" t="s">
        <v>105</v>
      </c>
      <c r="D21" s="113">
        <v>6</v>
      </c>
      <c r="E21" s="113">
        <v>182</v>
      </c>
      <c r="F21" s="113">
        <v>12</v>
      </c>
      <c r="G21" s="114">
        <f t="shared" si="0"/>
        <v>200</v>
      </c>
      <c r="H21" s="114">
        <v>0</v>
      </c>
      <c r="I21" s="24"/>
      <c r="J21" s="24"/>
      <c r="K21" s="24"/>
      <c r="L21" s="24"/>
      <c r="M21" s="24"/>
      <c r="N21" s="24"/>
      <c r="O21" s="24"/>
      <c r="P21" s="24"/>
      <c r="Q21" s="24"/>
    </row>
    <row r="22" spans="1:17" s="16" customFormat="1" ht="15.75">
      <c r="A22" s="17">
        <v>15</v>
      </c>
      <c r="B22" s="74">
        <v>107</v>
      </c>
      <c r="C22" s="35" t="s">
        <v>97</v>
      </c>
      <c r="D22" s="113">
        <v>11</v>
      </c>
      <c r="E22" s="113">
        <v>45</v>
      </c>
      <c r="F22" s="113">
        <v>0</v>
      </c>
      <c r="G22" s="114">
        <f t="shared" si="0"/>
        <v>56</v>
      </c>
      <c r="H22" s="114">
        <v>0</v>
      </c>
      <c r="I22" s="24"/>
      <c r="J22" s="24"/>
      <c r="K22" s="24"/>
      <c r="L22" s="24"/>
      <c r="M22" s="24"/>
      <c r="N22" s="24"/>
      <c r="O22" s="24"/>
      <c r="P22" s="24"/>
      <c r="Q22" s="24"/>
    </row>
    <row r="23" spans="1:17" s="16" customFormat="1" ht="15.75">
      <c r="A23" s="17">
        <v>16</v>
      </c>
      <c r="B23" s="74">
        <v>112</v>
      </c>
      <c r="C23" s="35" t="s">
        <v>29</v>
      </c>
      <c r="D23" s="113">
        <v>2142</v>
      </c>
      <c r="E23" s="113">
        <v>650.33000000000004</v>
      </c>
      <c r="F23" s="113">
        <f>65+42+42+42+42</f>
        <v>233</v>
      </c>
      <c r="G23" s="114">
        <f t="shared" si="0"/>
        <v>3025.33</v>
      </c>
      <c r="H23" s="114">
        <v>270</v>
      </c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15.75">
      <c r="A24" s="17">
        <v>17</v>
      </c>
      <c r="B24" s="74">
        <v>114</v>
      </c>
      <c r="C24" s="35" t="s">
        <v>98</v>
      </c>
      <c r="D24" s="113">
        <v>6</v>
      </c>
      <c r="E24" s="113">
        <v>54</v>
      </c>
      <c r="F24" s="113">
        <v>2</v>
      </c>
      <c r="G24" s="114">
        <f t="shared" si="0"/>
        <v>62</v>
      </c>
      <c r="H24" s="114">
        <v>0</v>
      </c>
      <c r="I24" s="24"/>
      <c r="J24" s="24"/>
      <c r="K24" s="24"/>
      <c r="L24" s="24"/>
      <c r="M24" s="24"/>
      <c r="N24" s="24"/>
      <c r="O24" s="24"/>
      <c r="P24" s="24"/>
      <c r="Q24" s="24"/>
    </row>
    <row r="25" spans="1:17" s="16" customFormat="1" ht="15.75">
      <c r="A25" s="17">
        <v>18</v>
      </c>
      <c r="B25" s="74">
        <v>115</v>
      </c>
      <c r="C25" s="35" t="s">
        <v>30</v>
      </c>
      <c r="D25" s="113">
        <f>2296.5+171.5</f>
        <v>2468</v>
      </c>
      <c r="E25" s="113">
        <v>675</v>
      </c>
      <c r="F25" s="113">
        <f>65+42+42+42</f>
        <v>191</v>
      </c>
      <c r="G25" s="114">
        <f t="shared" si="0"/>
        <v>3334</v>
      </c>
      <c r="H25" s="114">
        <v>120</v>
      </c>
      <c r="I25" s="24"/>
      <c r="J25" s="24"/>
      <c r="K25" s="24"/>
      <c r="L25" s="24"/>
      <c r="M25" s="24"/>
      <c r="N25" s="24"/>
      <c r="O25" s="24"/>
      <c r="P25" s="24"/>
      <c r="Q25" s="24"/>
    </row>
    <row r="26" spans="1:17" s="16" customFormat="1" ht="15.75">
      <c r="A26" s="17">
        <v>19</v>
      </c>
      <c r="B26" s="74">
        <v>121</v>
      </c>
      <c r="C26" s="35" t="s">
        <v>35</v>
      </c>
      <c r="D26" s="113">
        <v>31.5</v>
      </c>
      <c r="E26" s="113">
        <v>48</v>
      </c>
      <c r="F26" s="113">
        <v>17</v>
      </c>
      <c r="G26" s="114">
        <f t="shared" si="0"/>
        <v>96.5</v>
      </c>
      <c r="H26" s="114">
        <v>0</v>
      </c>
      <c r="I26" s="24"/>
      <c r="J26" s="24"/>
      <c r="K26" s="24"/>
      <c r="L26" s="24"/>
      <c r="M26" s="24"/>
      <c r="N26" s="24"/>
      <c r="O26" s="24"/>
      <c r="P26" s="24"/>
      <c r="Q26" s="24"/>
    </row>
    <row r="27" spans="1:17" s="16" customFormat="1" ht="15.75">
      <c r="A27" s="17">
        <v>20</v>
      </c>
      <c r="B27" s="74">
        <v>125</v>
      </c>
      <c r="C27" s="35" t="s">
        <v>39</v>
      </c>
      <c r="D27" s="113">
        <v>58</v>
      </c>
      <c r="E27" s="113">
        <v>38.5</v>
      </c>
      <c r="F27" s="113">
        <v>17</v>
      </c>
      <c r="G27" s="114">
        <f t="shared" si="0"/>
        <v>113.5</v>
      </c>
      <c r="H27" s="114">
        <v>0</v>
      </c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15.75">
      <c r="A28" s="17">
        <v>21</v>
      </c>
      <c r="B28" s="74">
        <v>127</v>
      </c>
      <c r="C28" s="35" t="s">
        <v>135</v>
      </c>
      <c r="D28" s="113">
        <v>1418.5</v>
      </c>
      <c r="E28" s="113">
        <v>292.75</v>
      </c>
      <c r="F28" s="113">
        <f>57+12+12+12</f>
        <v>93</v>
      </c>
      <c r="G28" s="114">
        <f t="shared" si="0"/>
        <v>1804.25</v>
      </c>
      <c r="H28" s="114">
        <v>30</v>
      </c>
      <c r="I28" s="24"/>
      <c r="J28" s="24"/>
      <c r="K28" s="24"/>
      <c r="L28" s="24"/>
      <c r="M28" s="24"/>
      <c r="N28" s="24"/>
      <c r="O28" s="24"/>
      <c r="P28" s="24"/>
      <c r="Q28" s="24"/>
    </row>
    <row r="29" spans="1:17" s="16" customFormat="1" ht="15.75">
      <c r="A29" s="17">
        <v>22</v>
      </c>
      <c r="B29" s="74">
        <v>129</v>
      </c>
      <c r="C29" s="35" t="s">
        <v>65</v>
      </c>
      <c r="D29" s="113">
        <v>1008</v>
      </c>
      <c r="E29" s="113">
        <v>443.67</v>
      </c>
      <c r="F29" s="113">
        <f>65+42</f>
        <v>107</v>
      </c>
      <c r="G29" s="114">
        <f t="shared" si="0"/>
        <v>1558.67</v>
      </c>
      <c r="H29" s="114">
        <v>60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s="16" customFormat="1" ht="15.75">
      <c r="A30" s="17">
        <v>23</v>
      </c>
      <c r="B30" s="83">
        <v>132</v>
      </c>
      <c r="C30" s="35" t="s">
        <v>83</v>
      </c>
      <c r="D30" s="113">
        <v>138</v>
      </c>
      <c r="E30" s="113">
        <v>77</v>
      </c>
      <c r="F30" s="113">
        <v>12</v>
      </c>
      <c r="G30" s="114">
        <f t="shared" si="0"/>
        <v>227</v>
      </c>
      <c r="H30" s="114">
        <v>0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s="16" customFormat="1" ht="15.75">
      <c r="A31" s="17">
        <v>24</v>
      </c>
      <c r="B31" s="83">
        <v>136</v>
      </c>
      <c r="C31" s="35" t="s">
        <v>40</v>
      </c>
      <c r="D31" s="113">
        <v>103</v>
      </c>
      <c r="E31" s="113">
        <v>77</v>
      </c>
      <c r="F31" s="113">
        <v>17</v>
      </c>
      <c r="G31" s="114">
        <f t="shared" si="0"/>
        <v>197</v>
      </c>
      <c r="H31" s="114">
        <v>0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15.75">
      <c r="A32" s="17">
        <v>25</v>
      </c>
      <c r="B32" s="76">
        <v>161</v>
      </c>
      <c r="C32" s="34" t="s">
        <v>136</v>
      </c>
      <c r="D32" s="113">
        <v>170</v>
      </c>
      <c r="E32" s="113">
        <v>213.5</v>
      </c>
      <c r="F32" s="113">
        <v>4</v>
      </c>
      <c r="G32" s="114">
        <f t="shared" si="0"/>
        <v>387.5</v>
      </c>
      <c r="H32" s="114">
        <v>30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s="16" customFormat="1" ht="15.75">
      <c r="A33" s="17">
        <v>26</v>
      </c>
      <c r="B33" s="74">
        <v>162</v>
      </c>
      <c r="C33" s="34" t="s">
        <v>66</v>
      </c>
      <c r="D33" s="113">
        <v>114</v>
      </c>
      <c r="E33" s="113">
        <v>143.41999999999999</v>
      </c>
      <c r="F33" s="113">
        <v>17</v>
      </c>
      <c r="G33" s="114">
        <f t="shared" si="0"/>
        <v>274.41999999999996</v>
      </c>
      <c r="H33" s="114">
        <v>30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s="16" customFormat="1" ht="15.75">
      <c r="A34" s="17">
        <v>27</v>
      </c>
      <c r="B34" s="74">
        <v>166</v>
      </c>
      <c r="C34" s="34" t="s">
        <v>137</v>
      </c>
      <c r="D34" s="113">
        <v>1456</v>
      </c>
      <c r="E34" s="113">
        <v>402.53</v>
      </c>
      <c r="F34" s="113">
        <v>99</v>
      </c>
      <c r="G34" s="114">
        <f t="shared" si="0"/>
        <v>1957.53</v>
      </c>
      <c r="H34" s="114">
        <v>60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s="16" customFormat="1" ht="15.75">
      <c r="A35" s="17">
        <v>28</v>
      </c>
      <c r="B35" s="74">
        <v>170</v>
      </c>
      <c r="C35" s="34" t="s">
        <v>138</v>
      </c>
      <c r="D35" s="113">
        <v>78.5</v>
      </c>
      <c r="E35" s="113">
        <v>38</v>
      </c>
      <c r="F35" s="113">
        <v>12</v>
      </c>
      <c r="G35" s="114">
        <f t="shared" si="0"/>
        <v>128.5</v>
      </c>
      <c r="H35" s="114">
        <v>0</v>
      </c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15.75">
      <c r="A36" s="17">
        <v>29</v>
      </c>
      <c r="B36" s="74">
        <v>171</v>
      </c>
      <c r="C36" s="34" t="s">
        <v>67</v>
      </c>
      <c r="D36" s="113">
        <v>130.5</v>
      </c>
      <c r="E36" s="113">
        <v>93</v>
      </c>
      <c r="F36" s="113">
        <v>7</v>
      </c>
      <c r="G36" s="114">
        <f t="shared" si="0"/>
        <v>230.5</v>
      </c>
      <c r="H36" s="114">
        <v>30</v>
      </c>
      <c r="I36" s="24"/>
      <c r="J36" s="24"/>
      <c r="K36" s="24"/>
      <c r="L36" s="24"/>
      <c r="M36" s="24"/>
      <c r="N36" s="24"/>
      <c r="O36" s="24"/>
      <c r="P36" s="24"/>
      <c r="Q36" s="24"/>
    </row>
    <row r="37" spans="1:17" s="16" customFormat="1" ht="15.75">
      <c r="A37" s="17">
        <v>30</v>
      </c>
      <c r="B37" s="74">
        <v>173</v>
      </c>
      <c r="C37" s="78" t="s">
        <v>68</v>
      </c>
      <c r="D37" s="113">
        <v>41</v>
      </c>
      <c r="E37" s="113">
        <v>43</v>
      </c>
      <c r="F37" s="113">
        <v>0</v>
      </c>
      <c r="G37" s="114">
        <f t="shared" si="0"/>
        <v>84</v>
      </c>
      <c r="H37" s="114">
        <v>0</v>
      </c>
      <c r="I37" s="24"/>
      <c r="J37" s="24"/>
      <c r="K37" s="24"/>
      <c r="L37" s="24"/>
      <c r="M37" s="24"/>
      <c r="N37" s="24"/>
      <c r="O37" s="24"/>
      <c r="P37" s="24"/>
      <c r="Q37" s="24"/>
    </row>
    <row r="38" spans="1:17" s="16" customFormat="1" ht="15.75">
      <c r="A38" s="17">
        <v>31</v>
      </c>
      <c r="B38" s="74">
        <v>174</v>
      </c>
      <c r="C38" s="78" t="s">
        <v>69</v>
      </c>
      <c r="D38" s="113">
        <v>8</v>
      </c>
      <c r="E38" s="113">
        <v>42.5</v>
      </c>
      <c r="F38" s="113">
        <v>2</v>
      </c>
      <c r="G38" s="114">
        <f t="shared" si="0"/>
        <v>52.5</v>
      </c>
      <c r="H38" s="114">
        <v>0</v>
      </c>
      <c r="I38" s="24"/>
      <c r="J38" s="24"/>
      <c r="K38" s="24"/>
      <c r="L38" s="24"/>
      <c r="M38" s="24"/>
      <c r="N38" s="24"/>
      <c r="O38" s="24"/>
      <c r="P38" s="24"/>
      <c r="Q38" s="24"/>
    </row>
    <row r="39" spans="1:17" s="16" customFormat="1" ht="15.75">
      <c r="A39" s="17">
        <v>32</v>
      </c>
      <c r="B39" s="74">
        <v>176</v>
      </c>
      <c r="C39" s="34" t="s">
        <v>108</v>
      </c>
      <c r="D39" s="113">
        <v>239</v>
      </c>
      <c r="E39" s="113">
        <v>152</v>
      </c>
      <c r="F39" s="113">
        <v>12</v>
      </c>
      <c r="G39" s="114">
        <f t="shared" si="0"/>
        <v>403</v>
      </c>
      <c r="H39" s="114">
        <v>30</v>
      </c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15.75">
      <c r="A40" s="17">
        <v>33</v>
      </c>
      <c r="B40" s="74">
        <v>178</v>
      </c>
      <c r="C40" s="34" t="s">
        <v>147</v>
      </c>
      <c r="D40" s="113">
        <v>68</v>
      </c>
      <c r="E40" s="113">
        <v>44</v>
      </c>
      <c r="F40" s="113">
        <v>30</v>
      </c>
      <c r="G40" s="114">
        <f t="shared" si="0"/>
        <v>142</v>
      </c>
      <c r="H40" s="114">
        <v>0</v>
      </c>
      <c r="I40" s="24"/>
      <c r="J40" s="24"/>
      <c r="K40" s="24"/>
      <c r="L40" s="24"/>
      <c r="M40" s="24"/>
      <c r="N40" s="24"/>
      <c r="O40" s="24"/>
      <c r="P40" s="24"/>
      <c r="Q40" s="24"/>
    </row>
    <row r="41" spans="1:17" s="16" customFormat="1" ht="15.75">
      <c r="A41" s="17">
        <v>34</v>
      </c>
      <c r="B41" s="74">
        <v>181</v>
      </c>
      <c r="C41" s="34" t="s">
        <v>73</v>
      </c>
      <c r="D41" s="113">
        <v>243.5</v>
      </c>
      <c r="E41" s="113">
        <v>112</v>
      </c>
      <c r="F41" s="113">
        <v>7</v>
      </c>
      <c r="G41" s="114">
        <f t="shared" si="0"/>
        <v>362.5</v>
      </c>
      <c r="H41" s="114">
        <v>30</v>
      </c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6" customFormat="1" ht="15.75">
      <c r="A42" s="17">
        <v>35</v>
      </c>
      <c r="B42" s="74">
        <v>204</v>
      </c>
      <c r="C42" s="34" t="s">
        <v>118</v>
      </c>
      <c r="D42" s="113">
        <v>207</v>
      </c>
      <c r="E42" s="113">
        <v>70.17</v>
      </c>
      <c r="F42" s="113">
        <v>65</v>
      </c>
      <c r="G42" s="114">
        <f t="shared" si="0"/>
        <v>342.17</v>
      </c>
      <c r="H42" s="114">
        <v>0</v>
      </c>
      <c r="I42" s="24"/>
      <c r="J42" s="24"/>
      <c r="K42" s="24"/>
      <c r="L42" s="24"/>
      <c r="M42" s="24"/>
      <c r="N42" s="24"/>
      <c r="O42" s="24"/>
      <c r="P42" s="24"/>
      <c r="Q42" s="24"/>
    </row>
    <row r="43" spans="1:17" s="16" customFormat="1" ht="15.75">
      <c r="A43" s="17">
        <v>36</v>
      </c>
      <c r="B43" s="74">
        <v>207</v>
      </c>
      <c r="C43" s="34" t="s">
        <v>88</v>
      </c>
      <c r="D43" s="113">
        <v>111.5</v>
      </c>
      <c r="E43" s="113">
        <v>96.33</v>
      </c>
      <c r="F43" s="113">
        <v>17</v>
      </c>
      <c r="G43" s="114">
        <f t="shared" si="0"/>
        <v>224.82999999999998</v>
      </c>
      <c r="H43" s="114">
        <v>30</v>
      </c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15.75">
      <c r="A44" s="17">
        <v>37</v>
      </c>
      <c r="B44" s="74">
        <v>225</v>
      </c>
      <c r="C44" s="53" t="s">
        <v>139</v>
      </c>
      <c r="D44" s="113">
        <v>685</v>
      </c>
      <c r="E44" s="113">
        <v>231.23</v>
      </c>
      <c r="F44" s="113">
        <v>57</v>
      </c>
      <c r="G44" s="114">
        <f t="shared" si="0"/>
        <v>973.23</v>
      </c>
      <c r="H44" s="114">
        <v>60</v>
      </c>
      <c r="I44" s="24"/>
      <c r="J44" s="24"/>
      <c r="K44" s="24"/>
      <c r="L44" s="24"/>
      <c r="M44" s="24"/>
      <c r="N44" s="24"/>
      <c r="O44" s="24"/>
      <c r="P44" s="24"/>
      <c r="Q44" s="24"/>
    </row>
    <row r="45" spans="1:17" s="16" customFormat="1" ht="15.75">
      <c r="A45" s="17">
        <v>38</v>
      </c>
      <c r="B45" s="74">
        <v>230</v>
      </c>
      <c r="C45" s="53" t="s">
        <v>87</v>
      </c>
      <c r="D45" s="113">
        <v>33</v>
      </c>
      <c r="E45" s="113">
        <v>52</v>
      </c>
      <c r="F45" s="113">
        <v>2</v>
      </c>
      <c r="G45" s="114">
        <f t="shared" si="0"/>
        <v>87</v>
      </c>
      <c r="H45" s="114">
        <v>0</v>
      </c>
      <c r="I45" s="24"/>
      <c r="J45" s="24"/>
      <c r="K45" s="24"/>
      <c r="L45" s="24"/>
      <c r="M45" s="24"/>
      <c r="N45" s="24"/>
      <c r="O45" s="24"/>
      <c r="P45" s="24"/>
      <c r="Q45" s="24"/>
    </row>
    <row r="46" spans="1:17" s="16" customFormat="1" ht="15.75">
      <c r="A46" s="17">
        <v>39</v>
      </c>
      <c r="B46" s="74">
        <v>231</v>
      </c>
      <c r="C46" s="53" t="s">
        <v>106</v>
      </c>
      <c r="D46" s="113">
        <v>52.5</v>
      </c>
      <c r="E46" s="113">
        <v>38</v>
      </c>
      <c r="F46" s="113">
        <v>2</v>
      </c>
      <c r="G46" s="114">
        <f t="shared" si="0"/>
        <v>92.5</v>
      </c>
      <c r="H46" s="114">
        <v>0</v>
      </c>
      <c r="I46" s="24"/>
      <c r="J46" s="24"/>
      <c r="K46" s="24"/>
      <c r="L46" s="24"/>
      <c r="M46" s="24"/>
      <c r="N46" s="24"/>
      <c r="O46" s="24"/>
      <c r="P46" s="24"/>
      <c r="Q46" s="24"/>
    </row>
    <row r="47" spans="1:17" s="16" customFormat="1" ht="15.75">
      <c r="A47" s="17">
        <v>40</v>
      </c>
      <c r="B47" s="74">
        <v>236</v>
      </c>
      <c r="C47" s="53" t="s">
        <v>140</v>
      </c>
      <c r="D47" s="113">
        <f>42.5+10</f>
        <v>52.5</v>
      </c>
      <c r="E47" s="113">
        <v>72</v>
      </c>
      <c r="F47" s="113">
        <v>29</v>
      </c>
      <c r="G47" s="114">
        <f t="shared" si="0"/>
        <v>153.5</v>
      </c>
      <c r="H47" s="114">
        <v>0</v>
      </c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15.75">
      <c r="A48" s="17">
        <v>41</v>
      </c>
      <c r="B48" s="74">
        <v>241</v>
      </c>
      <c r="C48" s="53" t="s">
        <v>141</v>
      </c>
      <c r="D48" s="113">
        <v>287</v>
      </c>
      <c r="E48" s="113">
        <v>70</v>
      </c>
      <c r="F48" s="113">
        <v>12</v>
      </c>
      <c r="G48" s="114">
        <f t="shared" si="0"/>
        <v>369</v>
      </c>
      <c r="H48" s="114">
        <v>0</v>
      </c>
      <c r="I48" s="24"/>
      <c r="J48" s="24"/>
      <c r="K48" s="24"/>
      <c r="L48" s="24"/>
      <c r="M48" s="24"/>
      <c r="N48" s="24"/>
      <c r="O48" s="24"/>
      <c r="P48" s="24"/>
      <c r="Q48" s="24"/>
    </row>
    <row r="49" spans="1:17" s="16" customFormat="1" ht="15.75">
      <c r="A49" s="17">
        <v>42</v>
      </c>
      <c r="B49" s="74">
        <v>242</v>
      </c>
      <c r="C49" s="53" t="s">
        <v>142</v>
      </c>
      <c r="D49" s="113">
        <v>96.5</v>
      </c>
      <c r="E49" s="113">
        <v>114.33</v>
      </c>
      <c r="F49" s="113">
        <v>60</v>
      </c>
      <c r="G49" s="114">
        <f t="shared" si="0"/>
        <v>270.83</v>
      </c>
      <c r="H49" s="114">
        <v>30</v>
      </c>
      <c r="I49" s="24"/>
      <c r="J49" s="24"/>
      <c r="K49" s="24"/>
      <c r="L49" s="24"/>
      <c r="M49" s="24"/>
      <c r="N49" s="24"/>
      <c r="O49" s="24"/>
      <c r="P49" s="24"/>
      <c r="Q49" s="24"/>
    </row>
    <row r="50" spans="1:17" s="16" customFormat="1" ht="15.75">
      <c r="A50" s="17">
        <v>43</v>
      </c>
      <c r="B50" s="74">
        <v>246</v>
      </c>
      <c r="C50" s="53" t="s">
        <v>143</v>
      </c>
      <c r="D50" s="113">
        <v>1469</v>
      </c>
      <c r="E50" s="113">
        <v>369</v>
      </c>
      <c r="F50" s="113">
        <f>40+65+40</f>
        <v>145</v>
      </c>
      <c r="G50" s="114">
        <f t="shared" si="0"/>
        <v>1983</v>
      </c>
      <c r="H50" s="114">
        <v>150</v>
      </c>
      <c r="I50" s="24"/>
      <c r="J50" s="24"/>
      <c r="K50" s="24"/>
      <c r="L50" s="24"/>
      <c r="M50" s="24"/>
      <c r="N50" s="24"/>
      <c r="O50" s="24"/>
      <c r="P50" s="24"/>
      <c r="Q50" s="24"/>
    </row>
    <row r="51" spans="1:17" s="16" customFormat="1" ht="15.75">
      <c r="A51" s="17">
        <v>44</v>
      </c>
      <c r="B51" s="74">
        <v>247</v>
      </c>
      <c r="C51" s="53" t="s">
        <v>103</v>
      </c>
      <c r="D51" s="113">
        <v>420</v>
      </c>
      <c r="E51" s="113">
        <v>78</v>
      </c>
      <c r="F51" s="113">
        <v>42</v>
      </c>
      <c r="G51" s="114">
        <f t="shared" si="0"/>
        <v>540</v>
      </c>
      <c r="H51" s="114">
        <v>30</v>
      </c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15.75">
      <c r="A52" s="17">
        <v>45</v>
      </c>
      <c r="B52" s="74">
        <v>248</v>
      </c>
      <c r="C52" s="53" t="s">
        <v>144</v>
      </c>
      <c r="D52" s="113">
        <v>107</v>
      </c>
      <c r="E52" s="113">
        <v>96</v>
      </c>
      <c r="F52" s="113">
        <v>17</v>
      </c>
      <c r="G52" s="114">
        <f t="shared" si="0"/>
        <v>220</v>
      </c>
      <c r="H52" s="114">
        <v>30</v>
      </c>
      <c r="I52" s="24"/>
      <c r="J52" s="24"/>
      <c r="K52" s="24"/>
      <c r="L52" s="24"/>
      <c r="M52" s="24"/>
      <c r="N52" s="24"/>
      <c r="O52" s="24"/>
      <c r="P52" s="24"/>
      <c r="Q52" s="24"/>
    </row>
    <row r="53" spans="1:17" s="24" customFormat="1" ht="15.75">
      <c r="A53" s="17">
        <v>46</v>
      </c>
      <c r="B53" s="74">
        <v>250</v>
      </c>
      <c r="C53" s="53" t="s">
        <v>173</v>
      </c>
      <c r="D53" s="113">
        <v>124</v>
      </c>
      <c r="E53" s="113">
        <v>87</v>
      </c>
      <c r="F53" s="113">
        <v>12</v>
      </c>
      <c r="G53" s="114">
        <f t="shared" si="0"/>
        <v>223</v>
      </c>
      <c r="H53" s="114">
        <v>30</v>
      </c>
    </row>
    <row r="54" spans="1:17" s="16" customFormat="1" ht="15.75">
      <c r="A54" s="17">
        <v>47</v>
      </c>
      <c r="B54" s="74">
        <v>254</v>
      </c>
      <c r="C54" s="53" t="s">
        <v>101</v>
      </c>
      <c r="D54" s="113">
        <v>562.5</v>
      </c>
      <c r="E54" s="113">
        <v>199.33</v>
      </c>
      <c r="F54" s="113">
        <v>20</v>
      </c>
      <c r="G54" s="114">
        <f t="shared" si="0"/>
        <v>781.83</v>
      </c>
      <c r="H54" s="114">
        <v>30</v>
      </c>
      <c r="I54" s="24"/>
      <c r="J54" s="24"/>
      <c r="K54" s="24"/>
      <c r="L54" s="24"/>
      <c r="M54" s="24"/>
      <c r="N54" s="24"/>
      <c r="O54" s="24"/>
      <c r="P54" s="24"/>
      <c r="Q54" s="24"/>
    </row>
    <row r="55" spans="1:17" s="16" customFormat="1" ht="15.75">
      <c r="A55" s="17">
        <v>48</v>
      </c>
      <c r="B55" s="74">
        <v>255</v>
      </c>
      <c r="C55" s="53" t="s">
        <v>134</v>
      </c>
      <c r="D55" s="113">
        <v>0</v>
      </c>
      <c r="E55" s="113">
        <v>40</v>
      </c>
      <c r="F55" s="113">
        <v>0</v>
      </c>
      <c r="G55" s="114">
        <f t="shared" si="0"/>
        <v>40</v>
      </c>
      <c r="H55" s="114">
        <v>0</v>
      </c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15.75">
      <c r="A56" s="17">
        <v>49</v>
      </c>
      <c r="B56" s="74">
        <v>256</v>
      </c>
      <c r="C56" s="53" t="s">
        <v>111</v>
      </c>
      <c r="D56" s="113">
        <v>970</v>
      </c>
      <c r="E56" s="113">
        <v>236.87</v>
      </c>
      <c r="F56" s="113">
        <v>35</v>
      </c>
      <c r="G56" s="114">
        <f t="shared" si="0"/>
        <v>1241.8699999999999</v>
      </c>
      <c r="H56" s="114">
        <v>30</v>
      </c>
      <c r="I56" s="24"/>
      <c r="J56" s="24"/>
      <c r="K56" s="24"/>
      <c r="L56" s="24"/>
      <c r="M56" s="24"/>
      <c r="N56" s="24"/>
      <c r="O56" s="24"/>
      <c r="P56" s="24"/>
      <c r="Q56" s="24"/>
    </row>
    <row r="57" spans="1:17" s="16" customFormat="1" ht="15.75">
      <c r="A57" s="17">
        <v>50</v>
      </c>
      <c r="B57" s="74">
        <v>257</v>
      </c>
      <c r="C57" s="53" t="s">
        <v>112</v>
      </c>
      <c r="D57" s="113">
        <f>488+180</f>
        <v>668</v>
      </c>
      <c r="E57" s="113">
        <v>144.66999999999999</v>
      </c>
      <c r="F57" s="113">
        <v>52</v>
      </c>
      <c r="G57" s="114">
        <f t="shared" si="0"/>
        <v>864.67</v>
      </c>
      <c r="H57" s="114">
        <f>30+30</f>
        <v>60</v>
      </c>
      <c r="I57" s="24"/>
      <c r="J57" s="24"/>
      <c r="K57" s="24"/>
      <c r="L57" s="24"/>
      <c r="M57" s="24"/>
      <c r="N57" s="24"/>
      <c r="O57" s="24"/>
      <c r="P57" s="24"/>
      <c r="Q57" s="24"/>
    </row>
    <row r="58" spans="1:17" s="16" customFormat="1" ht="15.75">
      <c r="A58" s="17">
        <v>51</v>
      </c>
      <c r="B58" s="74">
        <v>258</v>
      </c>
      <c r="C58" s="53" t="s">
        <v>114</v>
      </c>
      <c r="D58" s="113">
        <v>532</v>
      </c>
      <c r="E58" s="113">
        <v>126.93</v>
      </c>
      <c r="F58" s="113">
        <v>19</v>
      </c>
      <c r="G58" s="114">
        <f t="shared" si="0"/>
        <v>677.93000000000006</v>
      </c>
      <c r="H58" s="114">
        <v>30</v>
      </c>
      <c r="I58" s="24"/>
      <c r="J58" s="24"/>
      <c r="K58" s="24"/>
      <c r="L58" s="24"/>
      <c r="M58" s="24"/>
      <c r="N58" s="24"/>
      <c r="O58" s="24"/>
      <c r="P58" s="24"/>
      <c r="Q58" s="24"/>
    </row>
    <row r="59" spans="1:17" s="16" customFormat="1" ht="15.75">
      <c r="A59" s="17">
        <v>52</v>
      </c>
      <c r="B59" s="74">
        <v>259</v>
      </c>
      <c r="C59" s="8" t="s">
        <v>117</v>
      </c>
      <c r="D59" s="113">
        <v>708</v>
      </c>
      <c r="E59" s="113">
        <v>220</v>
      </c>
      <c r="F59" s="113">
        <v>30</v>
      </c>
      <c r="G59" s="114">
        <f t="shared" si="0"/>
        <v>958</v>
      </c>
      <c r="H59" s="114">
        <v>30</v>
      </c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15.75">
      <c r="A60" s="17">
        <v>53</v>
      </c>
      <c r="B60" s="74">
        <v>261</v>
      </c>
      <c r="C60" s="8" t="s">
        <v>387</v>
      </c>
      <c r="D60" s="113">
        <v>465</v>
      </c>
      <c r="E60" s="113">
        <v>101.4</v>
      </c>
      <c r="F60" s="113">
        <v>65</v>
      </c>
      <c r="G60" s="114">
        <f t="shared" si="0"/>
        <v>631.4</v>
      </c>
      <c r="H60" s="114">
        <v>30</v>
      </c>
      <c r="I60" s="24"/>
      <c r="J60" s="24"/>
      <c r="K60" s="24"/>
      <c r="L60" s="24"/>
      <c r="M60" s="24"/>
      <c r="N60" s="24"/>
      <c r="O60" s="24"/>
      <c r="P60" s="24"/>
      <c r="Q60" s="24"/>
    </row>
    <row r="61" spans="1:17" s="16" customFormat="1" ht="15.75">
      <c r="A61" s="17">
        <v>54</v>
      </c>
      <c r="B61" s="74">
        <v>268</v>
      </c>
      <c r="C61" s="38" t="s">
        <v>176</v>
      </c>
      <c r="D61" s="113">
        <v>137</v>
      </c>
      <c r="E61" s="113">
        <v>38</v>
      </c>
      <c r="F61" s="113">
        <v>12</v>
      </c>
      <c r="G61" s="114">
        <f t="shared" si="0"/>
        <v>187</v>
      </c>
      <c r="H61" s="114">
        <v>0</v>
      </c>
      <c r="I61" s="24"/>
      <c r="J61" s="24"/>
      <c r="K61" s="24"/>
      <c r="L61" s="24"/>
      <c r="M61" s="24"/>
      <c r="N61" s="24"/>
      <c r="O61" s="24"/>
      <c r="P61" s="24"/>
      <c r="Q61" s="24"/>
    </row>
    <row r="62" spans="1:17" s="16" customFormat="1" ht="15.75">
      <c r="A62" s="17">
        <v>55</v>
      </c>
      <c r="B62" s="74">
        <v>276</v>
      </c>
      <c r="C62" s="38" t="s">
        <v>174</v>
      </c>
      <c r="D62" s="113">
        <v>123</v>
      </c>
      <c r="E62" s="113">
        <v>66</v>
      </c>
      <c r="F62" s="113">
        <v>12</v>
      </c>
      <c r="G62" s="114">
        <f t="shared" si="0"/>
        <v>201</v>
      </c>
      <c r="H62" s="114">
        <v>30</v>
      </c>
      <c r="I62" s="24"/>
      <c r="J62" s="24"/>
      <c r="K62" s="24"/>
      <c r="L62" s="24"/>
      <c r="M62" s="24"/>
      <c r="N62" s="24"/>
      <c r="O62" s="24"/>
      <c r="P62" s="24"/>
      <c r="Q62" s="24"/>
    </row>
    <row r="63" spans="1:17" s="16" customFormat="1" ht="15.75">
      <c r="A63" s="17">
        <v>56</v>
      </c>
      <c r="B63" s="74">
        <v>277</v>
      </c>
      <c r="C63" s="79" t="s">
        <v>175</v>
      </c>
      <c r="D63" s="113">
        <v>500.5</v>
      </c>
      <c r="E63" s="113">
        <v>127</v>
      </c>
      <c r="F63" s="113">
        <v>22</v>
      </c>
      <c r="G63" s="114">
        <f t="shared" si="0"/>
        <v>649.5</v>
      </c>
      <c r="H63" s="114">
        <v>0</v>
      </c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6" customFormat="1" ht="15.75">
      <c r="A64" s="17">
        <v>57</v>
      </c>
      <c r="B64" s="74">
        <v>281</v>
      </c>
      <c r="C64" s="79" t="s">
        <v>202</v>
      </c>
      <c r="D64" s="113">
        <v>1</v>
      </c>
      <c r="E64" s="113">
        <v>64</v>
      </c>
      <c r="F64" s="113">
        <v>2</v>
      </c>
      <c r="G64" s="114">
        <f t="shared" si="0"/>
        <v>67</v>
      </c>
      <c r="H64" s="114">
        <v>30</v>
      </c>
      <c r="I64" s="24"/>
      <c r="J64" s="24"/>
      <c r="K64" s="24"/>
      <c r="L64" s="24"/>
      <c r="M64" s="24"/>
      <c r="N64" s="24"/>
      <c r="O64" s="24"/>
      <c r="P64" s="24"/>
      <c r="Q64" s="24"/>
    </row>
    <row r="65" spans="1:17" s="16" customFormat="1" ht="15.75">
      <c r="A65" s="17">
        <v>58</v>
      </c>
      <c r="B65" s="74">
        <v>286</v>
      </c>
      <c r="C65" s="79" t="s">
        <v>388</v>
      </c>
      <c r="D65" s="113">
        <v>70</v>
      </c>
      <c r="E65" s="113">
        <v>160</v>
      </c>
      <c r="F65" s="113">
        <v>50</v>
      </c>
      <c r="G65" s="114">
        <f>D65+E65+F65</f>
        <v>280</v>
      </c>
      <c r="H65" s="114">
        <v>30</v>
      </c>
      <c r="I65" s="24"/>
      <c r="J65" s="24"/>
      <c r="K65" s="24"/>
      <c r="L65" s="24"/>
      <c r="M65" s="24"/>
      <c r="N65" s="24"/>
      <c r="O65" s="24"/>
      <c r="P65" s="24"/>
      <c r="Q65" s="24"/>
    </row>
    <row r="66" spans="1:17" s="16" customFormat="1" ht="26.25">
      <c r="A66" s="17">
        <v>59</v>
      </c>
      <c r="B66" s="74">
        <v>287</v>
      </c>
      <c r="C66" s="79" t="s">
        <v>390</v>
      </c>
      <c r="D66" s="113">
        <v>0</v>
      </c>
      <c r="E66" s="113">
        <v>30</v>
      </c>
      <c r="F66" s="113">
        <v>2</v>
      </c>
      <c r="G66" s="114">
        <f t="shared" ref="G66:G67" si="1">D66+E66+F66</f>
        <v>32</v>
      </c>
      <c r="H66" s="114">
        <v>0</v>
      </c>
      <c r="I66" s="24"/>
      <c r="J66" s="24"/>
      <c r="K66" s="24"/>
      <c r="L66" s="24"/>
      <c r="M66" s="24"/>
      <c r="N66" s="24"/>
      <c r="O66" s="24"/>
      <c r="P66" s="24"/>
      <c r="Q66" s="24"/>
    </row>
    <row r="67" spans="1:17" s="16" customFormat="1" ht="15.75">
      <c r="A67" s="17">
        <v>60</v>
      </c>
      <c r="B67" s="74">
        <v>288</v>
      </c>
      <c r="C67" s="79" t="s">
        <v>389</v>
      </c>
      <c r="D67" s="113">
        <v>20</v>
      </c>
      <c r="E67" s="113">
        <v>60</v>
      </c>
      <c r="F67" s="113">
        <v>2</v>
      </c>
      <c r="G67" s="114">
        <f t="shared" si="1"/>
        <v>82</v>
      </c>
      <c r="H67" s="114">
        <v>30</v>
      </c>
      <c r="I67" s="24"/>
      <c r="J67" s="24"/>
      <c r="K67" s="24"/>
      <c r="L67" s="24"/>
      <c r="M67" s="24"/>
      <c r="N67" s="24"/>
      <c r="O67" s="24"/>
      <c r="P67" s="24"/>
      <c r="Q67" s="24"/>
    </row>
    <row r="68" spans="1:17" s="55" customFormat="1" ht="15.75">
      <c r="B68" s="70"/>
      <c r="C68" s="56" t="s">
        <v>84</v>
      </c>
      <c r="D68" s="57">
        <f>SUM(D8:D67)</f>
        <v>22490</v>
      </c>
      <c r="E68" s="57">
        <f t="shared" ref="E68:H68" si="2">SUM(E8:E67)</f>
        <v>9124.8299999999981</v>
      </c>
      <c r="F68" s="57">
        <f t="shared" si="2"/>
        <v>2042</v>
      </c>
      <c r="G68" s="57">
        <f t="shared" si="2"/>
        <v>33656.83</v>
      </c>
      <c r="H68" s="57">
        <f t="shared" si="2"/>
        <v>1650</v>
      </c>
      <c r="I68" s="65"/>
      <c r="J68" s="65"/>
      <c r="K68" s="65"/>
      <c r="L68" s="65"/>
      <c r="M68" s="65"/>
      <c r="N68" s="65"/>
      <c r="O68" s="65"/>
      <c r="P68" s="65"/>
      <c r="Q68" s="65"/>
    </row>
    <row r="70" spans="1:17">
      <c r="D70" s="20"/>
      <c r="E70" s="20"/>
      <c r="F70" s="20"/>
      <c r="G70" s="20"/>
    </row>
    <row r="71" spans="1:17">
      <c r="D71" s="20"/>
    </row>
  </sheetData>
  <autoFilter ref="A6:H68">
    <filterColumn colId="3" showButton="0"/>
    <filterColumn colId="4" showButton="0"/>
    <filterColumn colId="5" showButton="0"/>
  </autoFilter>
  <mergeCells count="5">
    <mergeCell ref="A6:A7"/>
    <mergeCell ref="B6:B7"/>
    <mergeCell ref="C6:C7"/>
    <mergeCell ref="D6:G6"/>
    <mergeCell ref="H6:H7"/>
  </mergeCells>
  <phoneticPr fontId="2" type="noConversion"/>
  <printOptions horizontalCentered="1"/>
  <pageMargins left="0" right="0" top="0.196850393700787" bottom="0.59055118110236204" header="0.118110236220472" footer="0.118110236220472"/>
  <pageSetup paperSize="9" scale="70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G135"/>
  <sheetViews>
    <sheetView zoomScaleNormal="100" workbookViewId="0">
      <pane ySplit="8" topLeftCell="A9" activePane="bottomLeft" state="frozen"/>
      <selection activeCell="H121" sqref="H121:H128"/>
      <selection pane="bottomLeft" activeCell="A9" sqref="A9:A117"/>
    </sheetView>
  </sheetViews>
  <sheetFormatPr defaultRowHeight="12.75"/>
  <cols>
    <col min="1" max="1" width="9.140625" style="16"/>
    <col min="2" max="2" width="9.85546875" style="51" customWidth="1"/>
    <col min="3" max="3" width="34.42578125" style="23" customWidth="1"/>
    <col min="4" max="4" width="21.5703125" style="45" customWidth="1"/>
    <col min="5" max="5" width="17.28515625" style="45" customWidth="1"/>
    <col min="6" max="7" width="14" style="16" customWidth="1"/>
    <col min="8" max="16384" width="9.140625" style="16"/>
  </cols>
  <sheetData>
    <row r="2" spans="1:7" s="24" customFormat="1">
      <c r="B2" s="49"/>
      <c r="C2" s="25"/>
      <c r="D2" s="27"/>
      <c r="E2" s="27"/>
    </row>
    <row r="3" spans="1:7" s="24" customFormat="1">
      <c r="A3" s="25"/>
      <c r="B3" s="49"/>
      <c r="C3" s="14" t="s">
        <v>133</v>
      </c>
      <c r="D3" s="43"/>
      <c r="E3" s="43"/>
    </row>
    <row r="4" spans="1:7" s="24" customFormat="1">
      <c r="B4" s="49"/>
      <c r="C4" s="26" t="s">
        <v>90</v>
      </c>
      <c r="D4" s="44"/>
      <c r="E4" s="44"/>
    </row>
    <row r="5" spans="1:7" s="24" customFormat="1">
      <c r="B5" s="49"/>
      <c r="C5" s="26"/>
      <c r="D5" s="64" t="s">
        <v>177</v>
      </c>
      <c r="E5" s="44"/>
    </row>
    <row r="6" spans="1:7" s="24" customFormat="1">
      <c r="B6" s="49"/>
      <c r="C6" s="21" t="s">
        <v>386</v>
      </c>
      <c r="D6" s="44"/>
      <c r="E6" s="44"/>
    </row>
    <row r="7" spans="1:7" s="10" customFormat="1" ht="25.5" customHeight="1">
      <c r="A7" s="123" t="s">
        <v>5</v>
      </c>
      <c r="B7" s="124" t="s">
        <v>0</v>
      </c>
      <c r="C7" s="124" t="s">
        <v>1</v>
      </c>
      <c r="D7" s="118" t="s">
        <v>110</v>
      </c>
      <c r="E7" s="119"/>
      <c r="F7" s="119"/>
      <c r="G7" s="120"/>
    </row>
    <row r="8" spans="1:7" ht="75" customHeight="1">
      <c r="A8" s="123"/>
      <c r="B8" s="124"/>
      <c r="C8" s="124"/>
      <c r="D8" s="46" t="s">
        <v>2</v>
      </c>
      <c r="E8" s="46" t="s">
        <v>3</v>
      </c>
      <c r="F8" s="29" t="s">
        <v>4</v>
      </c>
      <c r="G8" s="112" t="s">
        <v>109</v>
      </c>
    </row>
    <row r="9" spans="1:7" ht="15">
      <c r="A9" s="17">
        <v>1</v>
      </c>
      <c r="B9" s="22">
        <v>112</v>
      </c>
      <c r="C9" s="39" t="s">
        <v>29</v>
      </c>
      <c r="D9" s="48">
        <v>5679.78</v>
      </c>
      <c r="E9" s="48">
        <v>773.02</v>
      </c>
      <c r="F9" s="47">
        <f>25+12+12+12+12</f>
        <v>73</v>
      </c>
      <c r="G9" s="63">
        <f t="shared" ref="G9:G40" si="0">F9+E9+D9</f>
        <v>6525.7999999999993</v>
      </c>
    </row>
    <row r="10" spans="1:7" ht="15">
      <c r="A10" s="17">
        <v>2</v>
      </c>
      <c r="B10" s="22">
        <v>166</v>
      </c>
      <c r="C10" s="22" t="s">
        <v>52</v>
      </c>
      <c r="D10" s="47">
        <f>3540.6+35</f>
        <v>3575.6</v>
      </c>
      <c r="E10" s="47">
        <v>1077</v>
      </c>
      <c r="F10" s="47">
        <f>25+12+12+12+12+12</f>
        <v>85</v>
      </c>
      <c r="G10" s="63">
        <f t="shared" si="0"/>
        <v>4737.6000000000004</v>
      </c>
    </row>
    <row r="11" spans="1:7" ht="15">
      <c r="A11" s="17">
        <v>3</v>
      </c>
      <c r="B11" s="22">
        <v>6</v>
      </c>
      <c r="C11" s="30" t="s">
        <v>7</v>
      </c>
      <c r="D11" s="48">
        <v>3579</v>
      </c>
      <c r="E11" s="48">
        <v>356.5</v>
      </c>
      <c r="F11" s="47">
        <f>25+12+12</f>
        <v>49</v>
      </c>
      <c r="G11" s="63">
        <f t="shared" si="0"/>
        <v>3984.5</v>
      </c>
    </row>
    <row r="12" spans="1:7" s="10" customFormat="1" ht="15">
      <c r="A12" s="17">
        <v>4</v>
      </c>
      <c r="B12" s="22">
        <v>37</v>
      </c>
      <c r="C12" s="30" t="s">
        <v>99</v>
      </c>
      <c r="D12" s="48">
        <v>2453.8000000000002</v>
      </c>
      <c r="E12" s="48">
        <v>870</v>
      </c>
      <c r="F12" s="47">
        <f>25+12</f>
        <v>37</v>
      </c>
      <c r="G12" s="63">
        <f t="shared" si="0"/>
        <v>3360.8</v>
      </c>
    </row>
    <row r="13" spans="1:7" ht="15">
      <c r="A13" s="17">
        <v>5</v>
      </c>
      <c r="B13" s="22">
        <v>89</v>
      </c>
      <c r="C13" s="31" t="s">
        <v>121</v>
      </c>
      <c r="D13" s="48">
        <v>2178.4</v>
      </c>
      <c r="E13" s="48">
        <v>1050.5</v>
      </c>
      <c r="F13" s="47">
        <f>25+12+12+12+12+12</f>
        <v>85</v>
      </c>
      <c r="G13" s="63">
        <f t="shared" si="0"/>
        <v>3313.9</v>
      </c>
    </row>
    <row r="14" spans="1:7" ht="15">
      <c r="A14" s="17">
        <v>6</v>
      </c>
      <c r="B14" s="22">
        <v>127</v>
      </c>
      <c r="C14" s="73" t="s">
        <v>178</v>
      </c>
      <c r="D14" s="48">
        <v>2404.1999999999998</v>
      </c>
      <c r="E14" s="48">
        <v>584.5</v>
      </c>
      <c r="F14" s="47">
        <f>25+12+12</f>
        <v>49</v>
      </c>
      <c r="G14" s="63">
        <f t="shared" si="0"/>
        <v>3037.7</v>
      </c>
    </row>
    <row r="15" spans="1:7" ht="15">
      <c r="A15" s="17">
        <v>7</v>
      </c>
      <c r="B15" s="22">
        <v>94</v>
      </c>
      <c r="C15" s="30" t="s">
        <v>24</v>
      </c>
      <c r="D15" s="48">
        <v>1824.9</v>
      </c>
      <c r="E15" s="48">
        <f>372.86-15</f>
        <v>357.86</v>
      </c>
      <c r="F15" s="47">
        <v>37</v>
      </c>
      <c r="G15" s="63">
        <f t="shared" si="0"/>
        <v>2219.7600000000002</v>
      </c>
    </row>
    <row r="16" spans="1:7" ht="15">
      <c r="A16" s="17">
        <v>8</v>
      </c>
      <c r="B16" s="22">
        <v>72</v>
      </c>
      <c r="C16" s="30" t="s">
        <v>17</v>
      </c>
      <c r="D16" s="48">
        <v>1495</v>
      </c>
      <c r="E16" s="48">
        <v>574.33000000000004</v>
      </c>
      <c r="F16" s="47">
        <v>37</v>
      </c>
      <c r="G16" s="63">
        <f t="shared" si="0"/>
        <v>2106.33</v>
      </c>
    </row>
    <row r="17" spans="1:7" ht="15">
      <c r="A17" s="17">
        <v>9</v>
      </c>
      <c r="B17" s="22">
        <v>82</v>
      </c>
      <c r="C17" s="30" t="s">
        <v>21</v>
      </c>
      <c r="D17" s="48">
        <v>1681.6</v>
      </c>
      <c r="E17" s="48">
        <v>379.43</v>
      </c>
      <c r="F17" s="47">
        <v>25</v>
      </c>
      <c r="G17" s="63">
        <f t="shared" si="0"/>
        <v>2086.0299999999997</v>
      </c>
    </row>
    <row r="18" spans="1:7" ht="15">
      <c r="A18" s="17">
        <v>10</v>
      </c>
      <c r="B18" s="22">
        <v>189</v>
      </c>
      <c r="C18" s="19" t="s">
        <v>75</v>
      </c>
      <c r="D18" s="47">
        <v>1605.6</v>
      </c>
      <c r="E18" s="47">
        <v>296.5</v>
      </c>
      <c r="F18" s="47">
        <v>37</v>
      </c>
      <c r="G18" s="63">
        <f t="shared" si="0"/>
        <v>1939.1</v>
      </c>
    </row>
    <row r="19" spans="1:7" ht="15">
      <c r="A19" s="17">
        <v>11</v>
      </c>
      <c r="B19" s="22">
        <v>206</v>
      </c>
      <c r="C19" s="18" t="s">
        <v>126</v>
      </c>
      <c r="D19" s="48">
        <v>1628</v>
      </c>
      <c r="E19" s="48">
        <v>210</v>
      </c>
      <c r="F19" s="47">
        <f>14+12+12+12</f>
        <v>50</v>
      </c>
      <c r="G19" s="63">
        <f t="shared" si="0"/>
        <v>1888</v>
      </c>
    </row>
    <row r="20" spans="1:7" ht="15">
      <c r="A20" s="17">
        <v>12</v>
      </c>
      <c r="B20" s="22">
        <v>109</v>
      </c>
      <c r="C20" s="39" t="s">
        <v>129</v>
      </c>
      <c r="D20" s="48">
        <f>1083+338</f>
        <v>1421</v>
      </c>
      <c r="E20" s="48">
        <f>315.5+40</f>
        <v>355.5</v>
      </c>
      <c r="F20" s="47">
        <v>37</v>
      </c>
      <c r="G20" s="63">
        <f t="shared" si="0"/>
        <v>1813.5</v>
      </c>
    </row>
    <row r="21" spans="1:7" ht="15">
      <c r="A21" s="17">
        <v>13</v>
      </c>
      <c r="B21" s="22">
        <v>102</v>
      </c>
      <c r="C21" s="22" t="s">
        <v>96</v>
      </c>
      <c r="D21" s="47">
        <v>1393.4</v>
      </c>
      <c r="E21" s="47">
        <v>263</v>
      </c>
      <c r="F21" s="47">
        <v>28</v>
      </c>
      <c r="G21" s="63">
        <f t="shared" si="0"/>
        <v>1684.4</v>
      </c>
    </row>
    <row r="22" spans="1:7" ht="15">
      <c r="A22" s="17">
        <v>14</v>
      </c>
      <c r="B22" s="22">
        <v>81</v>
      </c>
      <c r="C22" s="30" t="s">
        <v>20</v>
      </c>
      <c r="D22" s="48">
        <v>1323</v>
      </c>
      <c r="E22" s="48">
        <f>280.29+5</f>
        <v>285.29000000000002</v>
      </c>
      <c r="F22" s="47">
        <v>33</v>
      </c>
      <c r="G22" s="63">
        <f t="shared" si="0"/>
        <v>1641.29</v>
      </c>
    </row>
    <row r="23" spans="1:7" ht="15">
      <c r="A23" s="17">
        <v>15</v>
      </c>
      <c r="B23" s="22">
        <v>250</v>
      </c>
      <c r="C23" s="19" t="s">
        <v>102</v>
      </c>
      <c r="D23" s="47">
        <v>1175</v>
      </c>
      <c r="E23" s="47">
        <v>270</v>
      </c>
      <c r="F23" s="47">
        <v>35</v>
      </c>
      <c r="G23" s="63">
        <f t="shared" si="0"/>
        <v>1480</v>
      </c>
    </row>
    <row r="24" spans="1:7" ht="15">
      <c r="A24" s="17">
        <v>16</v>
      </c>
      <c r="B24" s="39">
        <v>164</v>
      </c>
      <c r="C24" s="22" t="s">
        <v>51</v>
      </c>
      <c r="D24" s="47">
        <v>1207.2</v>
      </c>
      <c r="E24" s="47">
        <v>223.5</v>
      </c>
      <c r="F24" s="47">
        <v>33</v>
      </c>
      <c r="G24" s="63">
        <f t="shared" si="0"/>
        <v>1463.7</v>
      </c>
    </row>
    <row r="25" spans="1:7" ht="15">
      <c r="A25" s="17">
        <v>17</v>
      </c>
      <c r="B25" s="22">
        <v>35</v>
      </c>
      <c r="C25" s="30" t="s">
        <v>86</v>
      </c>
      <c r="D25" s="48">
        <v>963</v>
      </c>
      <c r="E25" s="48">
        <v>385.5</v>
      </c>
      <c r="F25" s="47">
        <v>25</v>
      </c>
      <c r="G25" s="63">
        <f t="shared" si="0"/>
        <v>1373.5</v>
      </c>
    </row>
    <row r="26" spans="1:7" ht="15">
      <c r="A26" s="17">
        <v>18</v>
      </c>
      <c r="B26" s="39">
        <v>139</v>
      </c>
      <c r="C26" s="39" t="s">
        <v>42</v>
      </c>
      <c r="D26" s="48">
        <v>1145.4000000000001</v>
      </c>
      <c r="E26" s="52">
        <v>205.5</v>
      </c>
      <c r="F26" s="47">
        <v>16</v>
      </c>
      <c r="G26" s="63">
        <f t="shared" si="0"/>
        <v>1366.9</v>
      </c>
    </row>
    <row r="27" spans="1:7" ht="15">
      <c r="A27" s="17">
        <v>19</v>
      </c>
      <c r="B27" s="22">
        <v>153</v>
      </c>
      <c r="C27" s="22" t="s">
        <v>132</v>
      </c>
      <c r="D27" s="47">
        <v>1073.5999999999999</v>
      </c>
      <c r="E27" s="47">
        <v>262</v>
      </c>
      <c r="F27" s="47">
        <v>25</v>
      </c>
      <c r="G27" s="63">
        <f t="shared" si="0"/>
        <v>1360.6</v>
      </c>
    </row>
    <row r="28" spans="1:7" ht="15">
      <c r="A28" s="17">
        <v>20</v>
      </c>
      <c r="B28" s="22">
        <v>236</v>
      </c>
      <c r="C28" s="19" t="s">
        <v>124</v>
      </c>
      <c r="D28" s="47">
        <v>1104</v>
      </c>
      <c r="E28" s="47">
        <f>184.29+34.29</f>
        <v>218.57999999999998</v>
      </c>
      <c r="F28" s="47">
        <v>25</v>
      </c>
      <c r="G28" s="63">
        <f t="shared" si="0"/>
        <v>1347.58</v>
      </c>
    </row>
    <row r="29" spans="1:7" ht="15">
      <c r="A29" s="17">
        <v>21</v>
      </c>
      <c r="B29" s="22">
        <v>253</v>
      </c>
      <c r="C29" s="19" t="s">
        <v>123</v>
      </c>
      <c r="D29" s="47">
        <v>1012.4</v>
      </c>
      <c r="E29" s="47">
        <v>234</v>
      </c>
      <c r="F29" s="47">
        <v>21</v>
      </c>
      <c r="G29" s="63">
        <f t="shared" si="0"/>
        <v>1267.4000000000001</v>
      </c>
    </row>
    <row r="30" spans="1:7" ht="15">
      <c r="A30" s="17">
        <v>22</v>
      </c>
      <c r="B30" s="22">
        <v>237</v>
      </c>
      <c r="C30" s="19" t="s">
        <v>94</v>
      </c>
      <c r="D30" s="47">
        <v>955.42</v>
      </c>
      <c r="E30" s="47">
        <v>197</v>
      </c>
      <c r="F30" s="47">
        <v>20</v>
      </c>
      <c r="G30" s="63">
        <f t="shared" si="0"/>
        <v>1172.42</v>
      </c>
    </row>
    <row r="31" spans="1:7" ht="15">
      <c r="A31" s="17">
        <v>23</v>
      </c>
      <c r="B31" s="39">
        <v>143</v>
      </c>
      <c r="C31" s="39" t="s">
        <v>128</v>
      </c>
      <c r="D31" s="48">
        <v>847.4</v>
      </c>
      <c r="E31" s="48">
        <f>270+12.5</f>
        <v>282.5</v>
      </c>
      <c r="F31" s="47">
        <v>37</v>
      </c>
      <c r="G31" s="63">
        <f t="shared" si="0"/>
        <v>1166.9000000000001</v>
      </c>
    </row>
    <row r="32" spans="1:7" ht="26.25">
      <c r="A32" s="17">
        <v>24</v>
      </c>
      <c r="B32" s="22">
        <v>124</v>
      </c>
      <c r="C32" s="39" t="s">
        <v>38</v>
      </c>
      <c r="D32" s="48">
        <v>804.8</v>
      </c>
      <c r="E32" s="48">
        <v>312.05</v>
      </c>
      <c r="F32" s="47">
        <v>25</v>
      </c>
      <c r="G32" s="63">
        <f t="shared" si="0"/>
        <v>1141.8499999999999</v>
      </c>
    </row>
    <row r="33" spans="1:7" ht="15">
      <c r="A33" s="17">
        <v>25</v>
      </c>
      <c r="B33" s="22">
        <v>44</v>
      </c>
      <c r="C33" s="30" t="s">
        <v>12</v>
      </c>
      <c r="D33" s="48">
        <v>878.4</v>
      </c>
      <c r="E33" s="48">
        <v>205</v>
      </c>
      <c r="F33" s="47">
        <v>37</v>
      </c>
      <c r="G33" s="63">
        <f t="shared" si="0"/>
        <v>1120.4000000000001</v>
      </c>
    </row>
    <row r="34" spans="1:7" ht="15">
      <c r="A34" s="17">
        <v>26</v>
      </c>
      <c r="B34" s="39">
        <v>154</v>
      </c>
      <c r="C34" s="22" t="s">
        <v>47</v>
      </c>
      <c r="D34" s="47">
        <v>814.8</v>
      </c>
      <c r="E34" s="47">
        <v>245</v>
      </c>
      <c r="F34" s="47">
        <v>25</v>
      </c>
      <c r="G34" s="63">
        <f t="shared" si="0"/>
        <v>1084.8</v>
      </c>
    </row>
    <row r="35" spans="1:7" ht="15">
      <c r="A35" s="17">
        <v>27</v>
      </c>
      <c r="B35" s="22">
        <v>170</v>
      </c>
      <c r="C35" s="22" t="s">
        <v>127</v>
      </c>
      <c r="D35" s="47">
        <v>746</v>
      </c>
      <c r="E35" s="47">
        <v>253</v>
      </c>
      <c r="F35" s="47">
        <v>25</v>
      </c>
      <c r="G35" s="63">
        <f t="shared" si="0"/>
        <v>1024</v>
      </c>
    </row>
    <row r="36" spans="1:7" ht="15">
      <c r="A36" s="17">
        <v>28</v>
      </c>
      <c r="B36" s="22">
        <v>248</v>
      </c>
      <c r="C36" s="19" t="s">
        <v>100</v>
      </c>
      <c r="D36" s="47">
        <v>805</v>
      </c>
      <c r="E36" s="47">
        <v>175</v>
      </c>
      <c r="F36" s="47">
        <v>25</v>
      </c>
      <c r="G36" s="63">
        <f t="shared" si="0"/>
        <v>1005</v>
      </c>
    </row>
    <row r="37" spans="1:7" s="10" customFormat="1" ht="15">
      <c r="A37" s="17">
        <v>29</v>
      </c>
      <c r="B37" s="22">
        <v>228</v>
      </c>
      <c r="C37" s="18" t="s">
        <v>95</v>
      </c>
      <c r="D37" s="48">
        <v>766.22</v>
      </c>
      <c r="E37" s="48">
        <v>188</v>
      </c>
      <c r="F37" s="47">
        <v>25</v>
      </c>
      <c r="G37" s="63">
        <f t="shared" si="0"/>
        <v>979.22</v>
      </c>
    </row>
    <row r="38" spans="1:7" ht="15">
      <c r="A38" s="17">
        <v>30</v>
      </c>
      <c r="B38" s="22">
        <v>271</v>
      </c>
      <c r="C38" s="31" t="s">
        <v>188</v>
      </c>
      <c r="D38" s="48">
        <v>825</v>
      </c>
      <c r="E38" s="48">
        <v>101.5</v>
      </c>
      <c r="F38" s="47">
        <v>25</v>
      </c>
      <c r="G38" s="63">
        <f t="shared" si="0"/>
        <v>951.5</v>
      </c>
    </row>
    <row r="39" spans="1:7" ht="26.25">
      <c r="A39" s="17">
        <v>31</v>
      </c>
      <c r="B39" s="22">
        <v>229</v>
      </c>
      <c r="C39" s="38" t="s">
        <v>392</v>
      </c>
      <c r="D39" s="48">
        <v>773.64</v>
      </c>
      <c r="E39" s="48">
        <v>131.07</v>
      </c>
      <c r="F39" s="47">
        <v>21</v>
      </c>
      <c r="G39" s="63">
        <f t="shared" si="0"/>
        <v>925.71</v>
      </c>
    </row>
    <row r="40" spans="1:7" ht="15">
      <c r="A40" s="17">
        <v>32</v>
      </c>
      <c r="B40" s="22">
        <v>261</v>
      </c>
      <c r="C40" s="19" t="s">
        <v>113</v>
      </c>
      <c r="D40" s="47">
        <v>630.79999999999995</v>
      </c>
      <c r="E40" s="47">
        <v>272.25</v>
      </c>
      <c r="F40" s="47">
        <v>16</v>
      </c>
      <c r="G40" s="63">
        <f t="shared" si="0"/>
        <v>919.05</v>
      </c>
    </row>
    <row r="41" spans="1:7" ht="15">
      <c r="A41" s="17">
        <v>33</v>
      </c>
      <c r="B41" s="22">
        <v>116</v>
      </c>
      <c r="C41" s="39" t="s">
        <v>31</v>
      </c>
      <c r="D41" s="48">
        <v>711</v>
      </c>
      <c r="E41" s="48">
        <v>167</v>
      </c>
      <c r="F41" s="47">
        <v>16</v>
      </c>
      <c r="G41" s="63">
        <f t="shared" ref="G41:G72" si="1">F41+E41+D41</f>
        <v>894</v>
      </c>
    </row>
    <row r="42" spans="1:7" ht="15">
      <c r="A42" s="17">
        <v>34</v>
      </c>
      <c r="B42" s="39">
        <v>142</v>
      </c>
      <c r="C42" s="39" t="s">
        <v>44</v>
      </c>
      <c r="D42" s="48">
        <v>519</v>
      </c>
      <c r="E42" s="48">
        <v>332.39</v>
      </c>
      <c r="F42" s="47">
        <v>37</v>
      </c>
      <c r="G42" s="63">
        <f t="shared" si="1"/>
        <v>888.39</v>
      </c>
    </row>
    <row r="43" spans="1:7" ht="15">
      <c r="A43" s="17">
        <v>35</v>
      </c>
      <c r="B43" s="22">
        <v>208</v>
      </c>
      <c r="C43" s="30" t="s">
        <v>78</v>
      </c>
      <c r="D43" s="48">
        <v>736.2</v>
      </c>
      <c r="E43" s="48">
        <v>122.5</v>
      </c>
      <c r="F43" s="47">
        <v>25</v>
      </c>
      <c r="G43" s="63">
        <f t="shared" si="1"/>
        <v>883.7</v>
      </c>
    </row>
    <row r="44" spans="1:7" ht="15">
      <c r="A44" s="17">
        <v>36</v>
      </c>
      <c r="B44" s="92">
        <v>282</v>
      </c>
      <c r="C44" s="93" t="s">
        <v>209</v>
      </c>
      <c r="D44" s="48">
        <v>647</v>
      </c>
      <c r="E44" s="48">
        <v>219</v>
      </c>
      <c r="F44" s="47">
        <v>16</v>
      </c>
      <c r="G44" s="63">
        <f t="shared" si="1"/>
        <v>882</v>
      </c>
    </row>
    <row r="45" spans="1:7" ht="15">
      <c r="A45" s="17">
        <v>37</v>
      </c>
      <c r="B45" s="22">
        <v>96</v>
      </c>
      <c r="C45" s="39" t="s">
        <v>25</v>
      </c>
      <c r="D45" s="48">
        <v>661.2</v>
      </c>
      <c r="E45" s="48">
        <f>163+4</f>
        <v>167</v>
      </c>
      <c r="F45" s="47">
        <v>37</v>
      </c>
      <c r="G45" s="63">
        <f t="shared" si="1"/>
        <v>865.2</v>
      </c>
    </row>
    <row r="46" spans="1:7" ht="15">
      <c r="A46" s="17">
        <v>38</v>
      </c>
      <c r="B46" s="22">
        <v>217</v>
      </c>
      <c r="C46" s="18" t="s">
        <v>80</v>
      </c>
      <c r="D46" s="48">
        <v>718.6</v>
      </c>
      <c r="E46" s="48">
        <v>118.29</v>
      </c>
      <c r="F46" s="47">
        <v>25</v>
      </c>
      <c r="G46" s="63">
        <f t="shared" si="1"/>
        <v>861.8900000000001</v>
      </c>
    </row>
    <row r="47" spans="1:7" ht="15">
      <c r="A47" s="17">
        <v>39</v>
      </c>
      <c r="B47" s="92">
        <v>283</v>
      </c>
      <c r="C47" s="93" t="s">
        <v>214</v>
      </c>
      <c r="D47" s="48">
        <v>767</v>
      </c>
      <c r="E47" s="48">
        <v>68.25</v>
      </c>
      <c r="F47" s="47">
        <v>25</v>
      </c>
      <c r="G47" s="63">
        <f t="shared" si="1"/>
        <v>860.25</v>
      </c>
    </row>
    <row r="48" spans="1:7" ht="15">
      <c r="A48" s="17">
        <v>40</v>
      </c>
      <c r="B48" s="22">
        <v>274</v>
      </c>
      <c r="C48" s="38" t="s">
        <v>184</v>
      </c>
      <c r="D48" s="48">
        <v>730.7</v>
      </c>
      <c r="E48" s="48">
        <v>102.5</v>
      </c>
      <c r="F48" s="47">
        <v>25</v>
      </c>
      <c r="G48" s="63">
        <f t="shared" si="1"/>
        <v>858.2</v>
      </c>
    </row>
    <row r="49" spans="1:7" ht="15">
      <c r="A49" s="17">
        <v>41</v>
      </c>
      <c r="B49" s="22">
        <v>118</v>
      </c>
      <c r="C49" s="39" t="s">
        <v>33</v>
      </c>
      <c r="D49" s="48">
        <v>667.4</v>
      </c>
      <c r="E49" s="48">
        <f>140+16</f>
        <v>156</v>
      </c>
      <c r="F49" s="47">
        <v>25</v>
      </c>
      <c r="G49" s="63">
        <f t="shared" si="1"/>
        <v>848.4</v>
      </c>
    </row>
    <row r="50" spans="1:7" ht="15">
      <c r="A50" s="17">
        <v>42</v>
      </c>
      <c r="B50" s="22">
        <v>67</v>
      </c>
      <c r="C50" s="30" t="s">
        <v>14</v>
      </c>
      <c r="D50" s="48">
        <v>684</v>
      </c>
      <c r="E50" s="48">
        <v>138</v>
      </c>
      <c r="F50" s="47">
        <v>25</v>
      </c>
      <c r="G50" s="63">
        <f t="shared" si="1"/>
        <v>847</v>
      </c>
    </row>
    <row r="51" spans="1:7" ht="15">
      <c r="A51" s="17">
        <v>43</v>
      </c>
      <c r="B51" s="22">
        <v>123</v>
      </c>
      <c r="C51" s="39" t="s">
        <v>37</v>
      </c>
      <c r="D51" s="48">
        <f>500+188.6</f>
        <v>688.6</v>
      </c>
      <c r="E51" s="48">
        <v>130</v>
      </c>
      <c r="F51" s="47">
        <v>25</v>
      </c>
      <c r="G51" s="63">
        <f t="shared" si="1"/>
        <v>843.6</v>
      </c>
    </row>
    <row r="52" spans="1:7" ht="15">
      <c r="A52" s="17">
        <v>44</v>
      </c>
      <c r="B52" s="22">
        <v>260</v>
      </c>
      <c r="C52" s="19" t="s">
        <v>116</v>
      </c>
      <c r="D52" s="47">
        <v>707.6</v>
      </c>
      <c r="E52" s="47">
        <v>75</v>
      </c>
      <c r="F52" s="47">
        <v>25</v>
      </c>
      <c r="G52" s="63">
        <f t="shared" si="1"/>
        <v>807.6</v>
      </c>
    </row>
    <row r="53" spans="1:7" ht="15">
      <c r="A53" s="17">
        <v>45</v>
      </c>
      <c r="B53" s="22">
        <v>74</v>
      </c>
      <c r="C53" s="30" t="s">
        <v>18</v>
      </c>
      <c r="D53" s="48">
        <v>527.79999999999995</v>
      </c>
      <c r="E53" s="48">
        <v>244</v>
      </c>
      <c r="F53" s="47">
        <v>33</v>
      </c>
      <c r="G53" s="63">
        <f t="shared" si="1"/>
        <v>804.8</v>
      </c>
    </row>
    <row r="54" spans="1:7" ht="15">
      <c r="A54" s="17">
        <v>46</v>
      </c>
      <c r="B54" s="22">
        <v>262</v>
      </c>
      <c r="C54" s="19" t="s">
        <v>115</v>
      </c>
      <c r="D54" s="47">
        <v>663.6</v>
      </c>
      <c r="E54" s="47">
        <v>110</v>
      </c>
      <c r="F54" s="47">
        <v>25</v>
      </c>
      <c r="G54" s="63">
        <f t="shared" si="1"/>
        <v>798.6</v>
      </c>
    </row>
    <row r="55" spans="1:7" ht="15">
      <c r="A55" s="17">
        <v>47</v>
      </c>
      <c r="B55" s="22">
        <v>27</v>
      </c>
      <c r="C55" s="30" t="s">
        <v>10</v>
      </c>
      <c r="D55" s="48">
        <v>565.20000000000005</v>
      </c>
      <c r="E55" s="48">
        <v>192.5</v>
      </c>
      <c r="F55" s="47">
        <v>25</v>
      </c>
      <c r="G55" s="63">
        <f t="shared" si="1"/>
        <v>782.7</v>
      </c>
    </row>
    <row r="56" spans="1:7" ht="15">
      <c r="A56" s="17">
        <v>48</v>
      </c>
      <c r="B56" s="22">
        <v>125</v>
      </c>
      <c r="C56" s="39" t="s">
        <v>39</v>
      </c>
      <c r="D56" s="48">
        <v>617.84</v>
      </c>
      <c r="E56" s="48">
        <v>136</v>
      </c>
      <c r="F56" s="47">
        <v>21</v>
      </c>
      <c r="G56" s="63">
        <f t="shared" si="1"/>
        <v>774.84</v>
      </c>
    </row>
    <row r="57" spans="1:7" ht="15">
      <c r="A57" s="17">
        <v>49</v>
      </c>
      <c r="B57" s="39">
        <v>136</v>
      </c>
      <c r="C57" s="40" t="s">
        <v>40</v>
      </c>
      <c r="D57" s="48">
        <f>585.4+10</f>
        <v>595.4</v>
      </c>
      <c r="E57" s="48">
        <v>149.71</v>
      </c>
      <c r="F57" s="47">
        <f>21+4</f>
        <v>25</v>
      </c>
      <c r="G57" s="63">
        <f t="shared" si="1"/>
        <v>770.11</v>
      </c>
    </row>
    <row r="58" spans="1:7" ht="15">
      <c r="A58" s="17">
        <v>50</v>
      </c>
      <c r="B58" s="22">
        <v>98</v>
      </c>
      <c r="C58" s="39" t="s">
        <v>105</v>
      </c>
      <c r="D58" s="47">
        <v>499</v>
      </c>
      <c r="E58" s="47">
        <v>255</v>
      </c>
      <c r="F58" s="47">
        <v>16</v>
      </c>
      <c r="G58" s="63">
        <f t="shared" si="1"/>
        <v>770</v>
      </c>
    </row>
    <row r="59" spans="1:7" ht="15">
      <c r="A59" s="17">
        <v>51</v>
      </c>
      <c r="B59" s="22">
        <v>186</v>
      </c>
      <c r="C59" s="18" t="s">
        <v>92</v>
      </c>
      <c r="D59" s="48">
        <v>634</v>
      </c>
      <c r="E59" s="48">
        <v>83.25</v>
      </c>
      <c r="F59" s="47">
        <v>25</v>
      </c>
      <c r="G59" s="63">
        <f t="shared" si="1"/>
        <v>742.25</v>
      </c>
    </row>
    <row r="60" spans="1:7" ht="15">
      <c r="A60" s="17">
        <v>52</v>
      </c>
      <c r="B60" s="22">
        <v>99</v>
      </c>
      <c r="C60" s="39" t="s">
        <v>26</v>
      </c>
      <c r="D60" s="48">
        <v>593.20000000000005</v>
      </c>
      <c r="E60" s="48">
        <v>116.5</v>
      </c>
      <c r="F60" s="47">
        <v>20</v>
      </c>
      <c r="G60" s="63">
        <f t="shared" si="1"/>
        <v>729.7</v>
      </c>
    </row>
    <row r="61" spans="1:7" s="10" customFormat="1" ht="15">
      <c r="A61" s="17">
        <v>53</v>
      </c>
      <c r="B61" s="39">
        <v>138</v>
      </c>
      <c r="C61" s="39" t="s">
        <v>41</v>
      </c>
      <c r="D61" s="48">
        <v>611.79999999999995</v>
      </c>
      <c r="E61" s="48">
        <v>80</v>
      </c>
      <c r="F61" s="47">
        <v>25</v>
      </c>
      <c r="G61" s="63">
        <f t="shared" si="1"/>
        <v>716.8</v>
      </c>
    </row>
    <row r="62" spans="1:7" ht="15">
      <c r="A62" s="17">
        <v>54</v>
      </c>
      <c r="B62" s="22">
        <v>86</v>
      </c>
      <c r="C62" s="31" t="s">
        <v>130</v>
      </c>
      <c r="D62" s="48">
        <v>586</v>
      </c>
      <c r="E62" s="48">
        <v>86.86</v>
      </c>
      <c r="F62" s="47">
        <v>14</v>
      </c>
      <c r="G62" s="63">
        <f t="shared" si="1"/>
        <v>686.86</v>
      </c>
    </row>
    <row r="63" spans="1:7" ht="15">
      <c r="A63" s="17">
        <v>55</v>
      </c>
      <c r="B63" s="22">
        <v>122</v>
      </c>
      <c r="C63" s="39" t="s">
        <v>36</v>
      </c>
      <c r="D63" s="48">
        <v>561.20000000000005</v>
      </c>
      <c r="E63" s="48">
        <v>100</v>
      </c>
      <c r="F63" s="47">
        <v>25</v>
      </c>
      <c r="G63" s="63">
        <f t="shared" si="1"/>
        <v>686.2</v>
      </c>
    </row>
    <row r="64" spans="1:7" ht="15">
      <c r="A64" s="17">
        <v>56</v>
      </c>
      <c r="B64" s="22">
        <v>167</v>
      </c>
      <c r="C64" s="22" t="s">
        <v>53</v>
      </c>
      <c r="D64" s="47">
        <v>460.4</v>
      </c>
      <c r="E64" s="47">
        <v>207.5</v>
      </c>
      <c r="F64" s="47">
        <v>16</v>
      </c>
      <c r="G64" s="63">
        <f t="shared" si="1"/>
        <v>683.9</v>
      </c>
    </row>
    <row r="65" spans="1:7" ht="15">
      <c r="A65" s="17">
        <v>57</v>
      </c>
      <c r="B65" s="42">
        <v>218</v>
      </c>
      <c r="C65" s="36" t="s">
        <v>79</v>
      </c>
      <c r="D65" s="48">
        <v>403.4</v>
      </c>
      <c r="E65" s="48">
        <v>226.25</v>
      </c>
      <c r="F65" s="47">
        <v>37</v>
      </c>
      <c r="G65" s="63">
        <f t="shared" si="1"/>
        <v>666.65</v>
      </c>
    </row>
    <row r="66" spans="1:7" ht="15">
      <c r="A66" s="17">
        <v>58</v>
      </c>
      <c r="B66" s="22">
        <v>155</v>
      </c>
      <c r="C66" s="22" t="s">
        <v>48</v>
      </c>
      <c r="D66" s="47">
        <f>376.22+162.6</f>
        <v>538.82000000000005</v>
      </c>
      <c r="E66" s="47">
        <v>94.5</v>
      </c>
      <c r="F66" s="47">
        <v>25</v>
      </c>
      <c r="G66" s="63">
        <f t="shared" si="1"/>
        <v>658.32</v>
      </c>
    </row>
    <row r="67" spans="1:7" ht="15">
      <c r="A67" s="17">
        <v>59</v>
      </c>
      <c r="B67" s="22">
        <v>268</v>
      </c>
      <c r="C67" s="31" t="s">
        <v>185</v>
      </c>
      <c r="D67" s="48">
        <f>369+33</f>
        <v>402</v>
      </c>
      <c r="E67" s="48">
        <v>235.5</v>
      </c>
      <c r="F67" s="47">
        <v>16</v>
      </c>
      <c r="G67" s="63">
        <f t="shared" si="1"/>
        <v>653.5</v>
      </c>
    </row>
    <row r="68" spans="1:7" ht="15">
      <c r="A68" s="17">
        <v>60</v>
      </c>
      <c r="B68" s="92">
        <v>278</v>
      </c>
      <c r="C68" s="93" t="s">
        <v>205</v>
      </c>
      <c r="D68" s="48">
        <v>497.4</v>
      </c>
      <c r="E68" s="48">
        <v>113</v>
      </c>
      <c r="F68" s="47">
        <v>25</v>
      </c>
      <c r="G68" s="63">
        <f t="shared" si="1"/>
        <v>635.4</v>
      </c>
    </row>
    <row r="69" spans="1:7" ht="15">
      <c r="A69" s="17">
        <v>61</v>
      </c>
      <c r="B69" s="39">
        <v>234</v>
      </c>
      <c r="C69" s="22" t="s">
        <v>125</v>
      </c>
      <c r="D69" s="47">
        <v>460</v>
      </c>
      <c r="E69" s="47">
        <v>118.29</v>
      </c>
      <c r="F69" s="47">
        <v>20</v>
      </c>
      <c r="G69" s="63">
        <f t="shared" si="1"/>
        <v>598.29</v>
      </c>
    </row>
    <row r="70" spans="1:7" ht="15">
      <c r="A70" s="17">
        <v>62</v>
      </c>
      <c r="B70" s="22">
        <v>68</v>
      </c>
      <c r="C70" s="30" t="s">
        <v>15</v>
      </c>
      <c r="D70" s="48">
        <v>459.6</v>
      </c>
      <c r="E70" s="48">
        <v>120</v>
      </c>
      <c r="F70" s="47">
        <v>16</v>
      </c>
      <c r="G70" s="63">
        <f t="shared" si="1"/>
        <v>595.6</v>
      </c>
    </row>
    <row r="71" spans="1:7" ht="15">
      <c r="A71" s="17">
        <v>63</v>
      </c>
      <c r="B71" s="39">
        <v>147</v>
      </c>
      <c r="C71" s="39" t="s">
        <v>45</v>
      </c>
      <c r="D71" s="48">
        <v>482.4</v>
      </c>
      <c r="E71" s="48">
        <v>80</v>
      </c>
      <c r="F71" s="47">
        <v>16</v>
      </c>
      <c r="G71" s="63">
        <f t="shared" si="1"/>
        <v>578.4</v>
      </c>
    </row>
    <row r="72" spans="1:7" ht="15">
      <c r="A72" s="17">
        <v>64</v>
      </c>
      <c r="B72" s="22">
        <v>264</v>
      </c>
      <c r="C72" s="31" t="s">
        <v>131</v>
      </c>
      <c r="D72" s="48">
        <v>349.8</v>
      </c>
      <c r="E72" s="48">
        <v>187.46</v>
      </c>
      <c r="F72" s="47">
        <v>37</v>
      </c>
      <c r="G72" s="63">
        <f t="shared" si="1"/>
        <v>574.26</v>
      </c>
    </row>
    <row r="73" spans="1:7" ht="26.25">
      <c r="A73" s="17">
        <v>65</v>
      </c>
      <c r="B73" s="22">
        <v>227</v>
      </c>
      <c r="C73" s="18" t="s">
        <v>85</v>
      </c>
      <c r="D73" s="48">
        <v>361.6</v>
      </c>
      <c r="E73" s="48">
        <v>168.86</v>
      </c>
      <c r="F73" s="47">
        <v>37</v>
      </c>
      <c r="G73" s="63">
        <f t="shared" ref="G73:G104" si="2">F73+E73+D73</f>
        <v>567.46</v>
      </c>
    </row>
    <row r="74" spans="1:7" ht="15">
      <c r="A74" s="17">
        <v>66</v>
      </c>
      <c r="B74" s="22">
        <v>213</v>
      </c>
      <c r="C74" s="18" t="s">
        <v>82</v>
      </c>
      <c r="D74" s="48">
        <v>428.4</v>
      </c>
      <c r="E74" s="48">
        <v>114.5</v>
      </c>
      <c r="F74" s="47">
        <v>20</v>
      </c>
      <c r="G74" s="63">
        <f t="shared" si="2"/>
        <v>562.9</v>
      </c>
    </row>
    <row r="75" spans="1:7" ht="15">
      <c r="A75" s="17">
        <v>67</v>
      </c>
      <c r="B75" s="22">
        <v>115</v>
      </c>
      <c r="C75" s="39" t="s">
        <v>30</v>
      </c>
      <c r="D75" s="48">
        <v>394</v>
      </c>
      <c r="E75" s="48">
        <v>143.29</v>
      </c>
      <c r="F75" s="47">
        <v>25</v>
      </c>
      <c r="G75" s="63">
        <f t="shared" si="2"/>
        <v>562.29</v>
      </c>
    </row>
    <row r="76" spans="1:7" ht="15">
      <c r="A76" s="17">
        <v>68</v>
      </c>
      <c r="B76" s="92">
        <v>280</v>
      </c>
      <c r="C76" s="93" t="s">
        <v>207</v>
      </c>
      <c r="D76" s="48">
        <v>458.2</v>
      </c>
      <c r="E76" s="48">
        <v>81.5</v>
      </c>
      <c r="F76" s="47">
        <v>21</v>
      </c>
      <c r="G76" s="63">
        <f t="shared" si="2"/>
        <v>560.70000000000005</v>
      </c>
    </row>
    <row r="77" spans="1:7" ht="15">
      <c r="A77" s="17">
        <v>69</v>
      </c>
      <c r="B77" s="22">
        <v>191</v>
      </c>
      <c r="C77" s="18" t="s">
        <v>74</v>
      </c>
      <c r="D77" s="48">
        <v>394.2</v>
      </c>
      <c r="E77" s="48">
        <v>149.86000000000001</v>
      </c>
      <c r="F77" s="47">
        <v>16</v>
      </c>
      <c r="G77" s="63">
        <f t="shared" si="2"/>
        <v>560.05999999999995</v>
      </c>
    </row>
    <row r="78" spans="1:7" ht="15">
      <c r="A78" s="17">
        <v>70</v>
      </c>
      <c r="B78" s="22">
        <v>101</v>
      </c>
      <c r="C78" s="39" t="s">
        <v>27</v>
      </c>
      <c r="D78" s="48">
        <v>399.4</v>
      </c>
      <c r="E78" s="48">
        <v>131.21</v>
      </c>
      <c r="F78" s="47">
        <v>25</v>
      </c>
      <c r="G78" s="63">
        <f t="shared" si="2"/>
        <v>555.61</v>
      </c>
    </row>
    <row r="79" spans="1:7" ht="15">
      <c r="A79" s="17">
        <v>71</v>
      </c>
      <c r="B79" s="22">
        <v>117</v>
      </c>
      <c r="C79" s="39" t="s">
        <v>32</v>
      </c>
      <c r="D79" s="48">
        <v>374</v>
      </c>
      <c r="E79" s="48">
        <v>132.71</v>
      </c>
      <c r="F79" s="47">
        <v>21</v>
      </c>
      <c r="G79" s="63">
        <f t="shared" si="2"/>
        <v>527.71</v>
      </c>
    </row>
    <row r="80" spans="1:7" ht="15">
      <c r="A80" s="17">
        <v>72</v>
      </c>
      <c r="B80" s="22">
        <v>207</v>
      </c>
      <c r="C80" s="39" t="s">
        <v>77</v>
      </c>
      <c r="D80" s="48">
        <v>370.4</v>
      </c>
      <c r="E80" s="48">
        <v>124</v>
      </c>
      <c r="F80" s="47">
        <v>25</v>
      </c>
      <c r="G80" s="63">
        <f t="shared" si="2"/>
        <v>519.4</v>
      </c>
    </row>
    <row r="81" spans="1:7" ht="15">
      <c r="A81" s="17">
        <v>73</v>
      </c>
      <c r="B81" s="22">
        <v>182</v>
      </c>
      <c r="C81" s="19" t="s">
        <v>71</v>
      </c>
      <c r="D81" s="47">
        <v>353</v>
      </c>
      <c r="E81" s="47">
        <v>100.5</v>
      </c>
      <c r="F81" s="47">
        <v>21</v>
      </c>
      <c r="G81" s="63">
        <f t="shared" si="2"/>
        <v>474.5</v>
      </c>
    </row>
    <row r="82" spans="1:7" ht="15">
      <c r="A82" s="17">
        <v>74</v>
      </c>
      <c r="B82" s="22">
        <v>211</v>
      </c>
      <c r="C82" s="18" t="s">
        <v>81</v>
      </c>
      <c r="D82" s="48">
        <v>336.8</v>
      </c>
      <c r="E82" s="48">
        <v>118</v>
      </c>
      <c r="F82" s="47">
        <v>16</v>
      </c>
      <c r="G82" s="63">
        <f t="shared" si="2"/>
        <v>470.8</v>
      </c>
    </row>
    <row r="83" spans="1:7" ht="15">
      <c r="A83" s="17">
        <v>75</v>
      </c>
      <c r="B83" s="22">
        <v>267</v>
      </c>
      <c r="C83" s="31" t="s">
        <v>180</v>
      </c>
      <c r="D83" s="48">
        <f>194.22+192.6</f>
        <v>386.82</v>
      </c>
      <c r="E83" s="48">
        <v>67</v>
      </c>
      <c r="F83" s="47">
        <v>14</v>
      </c>
      <c r="G83" s="63">
        <f t="shared" si="2"/>
        <v>467.82</v>
      </c>
    </row>
    <row r="84" spans="1:7" ht="15">
      <c r="A84" s="17">
        <v>76</v>
      </c>
      <c r="B84" s="22">
        <v>7</v>
      </c>
      <c r="C84" s="39" t="s">
        <v>8</v>
      </c>
      <c r="D84" s="48">
        <v>338</v>
      </c>
      <c r="E84" s="48">
        <v>87.82</v>
      </c>
      <c r="F84" s="47">
        <v>25</v>
      </c>
      <c r="G84" s="63">
        <f t="shared" si="2"/>
        <v>450.82</v>
      </c>
    </row>
    <row r="85" spans="1:7" ht="15">
      <c r="A85" s="17">
        <v>77</v>
      </c>
      <c r="B85" s="22">
        <v>121</v>
      </c>
      <c r="C85" s="39" t="s">
        <v>35</v>
      </c>
      <c r="D85" s="48">
        <v>279</v>
      </c>
      <c r="E85" s="48">
        <v>145.11000000000001</v>
      </c>
      <c r="F85" s="47">
        <v>25</v>
      </c>
      <c r="G85" s="63">
        <f t="shared" si="2"/>
        <v>449.11</v>
      </c>
    </row>
    <row r="86" spans="1:7" ht="15">
      <c r="A86" s="17">
        <v>78</v>
      </c>
      <c r="B86" s="22">
        <v>238</v>
      </c>
      <c r="C86" s="2" t="s">
        <v>393</v>
      </c>
      <c r="D86" s="47">
        <v>313.2</v>
      </c>
      <c r="E86" s="47">
        <v>99</v>
      </c>
      <c r="F86" s="47">
        <v>16</v>
      </c>
      <c r="G86" s="63">
        <f t="shared" si="2"/>
        <v>428.2</v>
      </c>
    </row>
    <row r="87" spans="1:7" s="10" customFormat="1" ht="15">
      <c r="A87" s="17">
        <v>79</v>
      </c>
      <c r="B87" s="22">
        <v>119</v>
      </c>
      <c r="C87" s="39" t="s">
        <v>34</v>
      </c>
      <c r="D87" s="48">
        <v>314</v>
      </c>
      <c r="E87" s="48">
        <v>99.21</v>
      </c>
      <c r="F87" s="47">
        <v>14</v>
      </c>
      <c r="G87" s="63">
        <f t="shared" si="2"/>
        <v>427.21</v>
      </c>
    </row>
    <row r="88" spans="1:7" s="10" customFormat="1" ht="15">
      <c r="A88" s="17">
        <v>80</v>
      </c>
      <c r="B88" s="22">
        <v>110</v>
      </c>
      <c r="C88" s="39" t="s">
        <v>28</v>
      </c>
      <c r="D88" s="48">
        <v>320.39999999999998</v>
      </c>
      <c r="E88" s="48">
        <v>82.86</v>
      </c>
      <c r="F88" s="47">
        <v>16</v>
      </c>
      <c r="G88" s="63">
        <f t="shared" si="2"/>
        <v>419.26</v>
      </c>
    </row>
    <row r="89" spans="1:7" s="10" customFormat="1" ht="15">
      <c r="A89" s="17">
        <v>81</v>
      </c>
      <c r="B89" s="22">
        <v>32</v>
      </c>
      <c r="C89" s="30" t="s">
        <v>11</v>
      </c>
      <c r="D89" s="48">
        <v>192.4</v>
      </c>
      <c r="E89" s="48">
        <v>208</v>
      </c>
      <c r="F89" s="47">
        <v>16</v>
      </c>
      <c r="G89" s="63">
        <f t="shared" si="2"/>
        <v>416.4</v>
      </c>
    </row>
    <row r="90" spans="1:7" s="10" customFormat="1" ht="15">
      <c r="A90" s="17">
        <v>82</v>
      </c>
      <c r="B90" s="22">
        <v>2</v>
      </c>
      <c r="C90" s="30" t="s">
        <v>6</v>
      </c>
      <c r="D90" s="48">
        <v>310</v>
      </c>
      <c r="E90" s="48">
        <v>83</v>
      </c>
      <c r="F90" s="47">
        <v>16</v>
      </c>
      <c r="G90" s="63">
        <f t="shared" si="2"/>
        <v>409</v>
      </c>
    </row>
    <row r="91" spans="1:7" s="10" customFormat="1" ht="15">
      <c r="A91" s="17">
        <v>83</v>
      </c>
      <c r="B91" s="22">
        <v>266</v>
      </c>
      <c r="C91" s="31" t="s">
        <v>179</v>
      </c>
      <c r="D91" s="48">
        <v>242</v>
      </c>
      <c r="E91" s="48">
        <v>124</v>
      </c>
      <c r="F91" s="47">
        <v>37</v>
      </c>
      <c r="G91" s="63">
        <f t="shared" si="2"/>
        <v>403</v>
      </c>
    </row>
    <row r="92" spans="1:7" s="10" customFormat="1" ht="15">
      <c r="A92" s="17">
        <v>84</v>
      </c>
      <c r="B92" s="22">
        <v>46</v>
      </c>
      <c r="C92" s="30" t="s">
        <v>13</v>
      </c>
      <c r="D92" s="48">
        <v>269</v>
      </c>
      <c r="E92" s="48">
        <v>97.5</v>
      </c>
      <c r="F92" s="47">
        <v>25</v>
      </c>
      <c r="G92" s="63">
        <f t="shared" si="2"/>
        <v>391.5</v>
      </c>
    </row>
    <row r="93" spans="1:7" s="10" customFormat="1" ht="15">
      <c r="A93" s="17">
        <v>85</v>
      </c>
      <c r="B93" s="22">
        <v>252</v>
      </c>
      <c r="C93" s="8" t="s">
        <v>395</v>
      </c>
      <c r="D93" s="47">
        <v>276</v>
      </c>
      <c r="E93" s="47">
        <v>77.5</v>
      </c>
      <c r="F93" s="47">
        <v>20</v>
      </c>
      <c r="G93" s="63">
        <f t="shared" si="2"/>
        <v>373.5</v>
      </c>
    </row>
    <row r="94" spans="1:7" s="10" customFormat="1" ht="15">
      <c r="A94" s="17">
        <v>86</v>
      </c>
      <c r="B94" s="22">
        <v>239</v>
      </c>
      <c r="C94" s="8" t="s">
        <v>394</v>
      </c>
      <c r="D94" s="47">
        <v>215.6</v>
      </c>
      <c r="E94" s="47">
        <v>147</v>
      </c>
      <c r="F94" s="47">
        <v>4</v>
      </c>
      <c r="G94" s="63">
        <f t="shared" si="2"/>
        <v>366.6</v>
      </c>
    </row>
    <row r="95" spans="1:7" s="10" customFormat="1" ht="15">
      <c r="A95" s="17">
        <v>87</v>
      </c>
      <c r="B95" s="22">
        <v>244</v>
      </c>
      <c r="C95" s="19" t="s">
        <v>104</v>
      </c>
      <c r="D95" s="47">
        <v>251.8</v>
      </c>
      <c r="E95" s="47">
        <v>91.5</v>
      </c>
      <c r="F95" s="47">
        <v>16</v>
      </c>
      <c r="G95" s="63">
        <f t="shared" si="2"/>
        <v>359.3</v>
      </c>
    </row>
    <row r="96" spans="1:7" s="10" customFormat="1" ht="15">
      <c r="A96" s="17">
        <v>88</v>
      </c>
      <c r="B96" s="74">
        <v>194</v>
      </c>
      <c r="C96" s="74" t="s">
        <v>200</v>
      </c>
      <c r="D96" s="48">
        <v>232.8</v>
      </c>
      <c r="E96" s="48">
        <v>101.82</v>
      </c>
      <c r="F96" s="47">
        <v>21</v>
      </c>
      <c r="G96" s="63">
        <f t="shared" si="2"/>
        <v>355.62</v>
      </c>
    </row>
    <row r="97" spans="1:7" s="10" customFormat="1" ht="15">
      <c r="A97" s="17">
        <v>89</v>
      </c>
      <c r="B97" s="92">
        <v>284</v>
      </c>
      <c r="C97" s="92" t="s">
        <v>208</v>
      </c>
      <c r="D97" s="48">
        <v>216.6</v>
      </c>
      <c r="E97" s="48">
        <v>115.71</v>
      </c>
      <c r="F97" s="47">
        <v>20</v>
      </c>
      <c r="G97" s="63">
        <f t="shared" si="2"/>
        <v>352.30999999999995</v>
      </c>
    </row>
    <row r="98" spans="1:7" s="10" customFormat="1" ht="15">
      <c r="A98" s="17">
        <v>90</v>
      </c>
      <c r="B98" s="39">
        <v>141</v>
      </c>
      <c r="C98" s="41" t="s">
        <v>43</v>
      </c>
      <c r="D98" s="52">
        <v>239</v>
      </c>
      <c r="E98" s="48">
        <v>81.96</v>
      </c>
      <c r="F98" s="47">
        <v>21</v>
      </c>
      <c r="G98" s="63">
        <f t="shared" si="2"/>
        <v>341.96</v>
      </c>
    </row>
    <row r="99" spans="1:7" s="10" customFormat="1" ht="15">
      <c r="A99" s="17">
        <v>91</v>
      </c>
      <c r="B99" s="39">
        <v>132</v>
      </c>
      <c r="C99" s="39" t="s">
        <v>83</v>
      </c>
      <c r="D99" s="48">
        <v>236.4</v>
      </c>
      <c r="E99" s="48">
        <v>87.29</v>
      </c>
      <c r="F99" s="47">
        <v>16</v>
      </c>
      <c r="G99" s="63">
        <f t="shared" si="2"/>
        <v>339.69</v>
      </c>
    </row>
    <row r="100" spans="1:7" s="10" customFormat="1" ht="15">
      <c r="A100" s="17">
        <v>92</v>
      </c>
      <c r="B100" s="22">
        <v>90</v>
      </c>
      <c r="C100" s="30" t="s">
        <v>23</v>
      </c>
      <c r="D100" s="48">
        <v>239</v>
      </c>
      <c r="E100" s="48">
        <v>67.5</v>
      </c>
      <c r="F100" s="47">
        <v>21</v>
      </c>
      <c r="G100" s="63">
        <f t="shared" si="2"/>
        <v>327.5</v>
      </c>
    </row>
    <row r="101" spans="1:7" s="10" customFormat="1" ht="15">
      <c r="A101" s="17">
        <v>93</v>
      </c>
      <c r="B101" s="22">
        <v>270</v>
      </c>
      <c r="C101" s="31" t="s">
        <v>186</v>
      </c>
      <c r="D101" s="48">
        <v>209</v>
      </c>
      <c r="E101" s="48">
        <v>89.57</v>
      </c>
      <c r="F101" s="47">
        <v>16</v>
      </c>
      <c r="G101" s="63">
        <f t="shared" si="2"/>
        <v>314.57</v>
      </c>
    </row>
    <row r="102" spans="1:7" s="10" customFormat="1" ht="15">
      <c r="A102" s="17">
        <v>94</v>
      </c>
      <c r="B102" s="22">
        <v>273</v>
      </c>
      <c r="C102" s="31" t="s">
        <v>183</v>
      </c>
      <c r="D102" s="48">
        <v>216.02</v>
      </c>
      <c r="E102" s="48">
        <v>72.5</v>
      </c>
      <c r="F102" s="47">
        <v>21</v>
      </c>
      <c r="G102" s="63">
        <f t="shared" si="2"/>
        <v>309.52</v>
      </c>
    </row>
    <row r="103" spans="1:7" s="10" customFormat="1" ht="15">
      <c r="A103" s="17">
        <v>95</v>
      </c>
      <c r="B103" s="22">
        <v>71</v>
      </c>
      <c r="C103" s="30" t="s">
        <v>16</v>
      </c>
      <c r="D103" s="48">
        <v>239.8</v>
      </c>
      <c r="E103" s="48">
        <v>55.5</v>
      </c>
      <c r="F103" s="47">
        <v>14</v>
      </c>
      <c r="G103" s="63">
        <f t="shared" si="2"/>
        <v>309.3</v>
      </c>
    </row>
    <row r="104" spans="1:7" s="10" customFormat="1" ht="15">
      <c r="A104" s="17">
        <v>96</v>
      </c>
      <c r="B104" s="22">
        <v>76</v>
      </c>
      <c r="C104" s="30" t="s">
        <v>19</v>
      </c>
      <c r="D104" s="48">
        <v>207.8</v>
      </c>
      <c r="E104" s="48">
        <v>69.25</v>
      </c>
      <c r="F104" s="47">
        <v>25</v>
      </c>
      <c r="G104" s="63">
        <f t="shared" si="2"/>
        <v>302.05</v>
      </c>
    </row>
    <row r="105" spans="1:7" s="10" customFormat="1" ht="15">
      <c r="A105" s="17">
        <v>97</v>
      </c>
      <c r="B105" s="22">
        <v>263</v>
      </c>
      <c r="C105" s="19" t="s">
        <v>122</v>
      </c>
      <c r="D105" s="47">
        <v>191.4</v>
      </c>
      <c r="E105" s="47">
        <v>79.11</v>
      </c>
      <c r="F105" s="47">
        <v>25</v>
      </c>
      <c r="G105" s="63">
        <f t="shared" ref="G105:G117" si="3">F105+E105+D105</f>
        <v>295.51</v>
      </c>
    </row>
    <row r="106" spans="1:7" s="10" customFormat="1" ht="15">
      <c r="A106" s="17">
        <v>98</v>
      </c>
      <c r="B106" s="22">
        <v>272</v>
      </c>
      <c r="C106" s="31" t="s">
        <v>181</v>
      </c>
      <c r="D106" s="48">
        <v>208</v>
      </c>
      <c r="E106" s="48">
        <v>70.5</v>
      </c>
      <c r="F106" s="47">
        <v>14</v>
      </c>
      <c r="G106" s="63">
        <f t="shared" si="3"/>
        <v>292.5</v>
      </c>
    </row>
    <row r="107" spans="1:7" s="10" customFormat="1" ht="15">
      <c r="A107" s="17">
        <v>99</v>
      </c>
      <c r="B107" s="22">
        <v>151</v>
      </c>
      <c r="C107" s="22" t="s">
        <v>46</v>
      </c>
      <c r="D107" s="47">
        <v>186</v>
      </c>
      <c r="E107" s="47">
        <v>79.14</v>
      </c>
      <c r="F107" s="47">
        <v>21</v>
      </c>
      <c r="G107" s="63">
        <f t="shared" si="3"/>
        <v>286.14</v>
      </c>
    </row>
    <row r="108" spans="1:7" s="10" customFormat="1" ht="15">
      <c r="A108" s="17">
        <v>100</v>
      </c>
      <c r="B108" s="92">
        <v>279</v>
      </c>
      <c r="C108" s="93" t="s">
        <v>206</v>
      </c>
      <c r="D108" s="48">
        <v>180.8</v>
      </c>
      <c r="E108" s="48">
        <v>80</v>
      </c>
      <c r="F108" s="47">
        <v>25</v>
      </c>
      <c r="G108" s="63">
        <f t="shared" si="3"/>
        <v>285.8</v>
      </c>
    </row>
    <row r="109" spans="1:7" s="10" customFormat="1" ht="15">
      <c r="A109" s="17">
        <v>101</v>
      </c>
      <c r="B109" s="22">
        <v>13</v>
      </c>
      <c r="C109" s="22" t="s">
        <v>9</v>
      </c>
      <c r="D109" s="47">
        <v>210.4</v>
      </c>
      <c r="E109" s="47">
        <v>58</v>
      </c>
      <c r="F109" s="47">
        <v>16</v>
      </c>
      <c r="G109" s="63">
        <f t="shared" si="3"/>
        <v>284.39999999999998</v>
      </c>
    </row>
    <row r="110" spans="1:7" s="10" customFormat="1" ht="15">
      <c r="A110" s="17">
        <v>102</v>
      </c>
      <c r="B110" s="22">
        <v>269</v>
      </c>
      <c r="C110" s="31" t="s">
        <v>187</v>
      </c>
      <c r="D110" s="48">
        <v>176.8</v>
      </c>
      <c r="E110" s="48">
        <v>73</v>
      </c>
      <c r="F110" s="47">
        <v>21</v>
      </c>
      <c r="G110" s="63">
        <f t="shared" si="3"/>
        <v>270.8</v>
      </c>
    </row>
    <row r="111" spans="1:7" s="10" customFormat="1" ht="15">
      <c r="A111" s="17">
        <v>103</v>
      </c>
      <c r="B111" s="22">
        <v>180</v>
      </c>
      <c r="C111" s="19" t="s">
        <v>72</v>
      </c>
      <c r="D111" s="47">
        <v>147</v>
      </c>
      <c r="E111" s="47">
        <v>59</v>
      </c>
      <c r="F111" s="47">
        <v>20</v>
      </c>
      <c r="G111" s="63">
        <f t="shared" si="3"/>
        <v>226</v>
      </c>
    </row>
    <row r="112" spans="1:7" s="10" customFormat="1" ht="26.25">
      <c r="A112" s="17">
        <v>104</v>
      </c>
      <c r="B112" s="22">
        <v>73</v>
      </c>
      <c r="C112" s="31" t="s">
        <v>211</v>
      </c>
      <c r="D112" s="48">
        <v>145</v>
      </c>
      <c r="E112" s="48">
        <v>58.33</v>
      </c>
      <c r="F112" s="47">
        <v>16</v>
      </c>
      <c r="G112" s="63">
        <f t="shared" si="3"/>
        <v>219.32999999999998</v>
      </c>
    </row>
    <row r="113" spans="1:7" s="10" customFormat="1" ht="15">
      <c r="A113" s="17">
        <v>105</v>
      </c>
      <c r="B113" s="22">
        <v>265</v>
      </c>
      <c r="C113" s="31" t="s">
        <v>204</v>
      </c>
      <c r="D113" s="48">
        <v>135.80000000000001</v>
      </c>
      <c r="E113" s="48">
        <v>50</v>
      </c>
      <c r="F113" s="47">
        <v>21</v>
      </c>
      <c r="G113" s="63">
        <f t="shared" si="3"/>
        <v>206.8</v>
      </c>
    </row>
    <row r="114" spans="1:7" s="10" customFormat="1" ht="26.25">
      <c r="A114" s="17">
        <v>106</v>
      </c>
      <c r="B114" s="22">
        <v>128</v>
      </c>
      <c r="C114" s="73" t="s">
        <v>391</v>
      </c>
      <c r="D114" s="48">
        <v>134</v>
      </c>
      <c r="E114" s="48">
        <v>52.75</v>
      </c>
      <c r="F114" s="47">
        <v>16</v>
      </c>
      <c r="G114" s="63">
        <f t="shared" si="3"/>
        <v>202.75</v>
      </c>
    </row>
    <row r="115" spans="1:7" s="10" customFormat="1" ht="15">
      <c r="A115" s="17">
        <v>107</v>
      </c>
      <c r="B115" s="39">
        <v>158</v>
      </c>
      <c r="C115" s="22" t="s">
        <v>50</v>
      </c>
      <c r="D115" s="47">
        <v>127</v>
      </c>
      <c r="E115" s="47">
        <v>58</v>
      </c>
      <c r="F115" s="47">
        <v>14</v>
      </c>
      <c r="G115" s="63">
        <f t="shared" si="3"/>
        <v>199</v>
      </c>
    </row>
    <row r="116" spans="1:7" s="10" customFormat="1" ht="15">
      <c r="A116" s="17">
        <v>108</v>
      </c>
      <c r="B116" s="22">
        <v>157</v>
      </c>
      <c r="C116" s="22" t="s">
        <v>49</v>
      </c>
      <c r="D116" s="47">
        <v>53</v>
      </c>
      <c r="E116" s="47">
        <v>101.5</v>
      </c>
      <c r="F116" s="47">
        <v>16</v>
      </c>
      <c r="G116" s="63">
        <f t="shared" si="3"/>
        <v>170.5</v>
      </c>
    </row>
    <row r="117" spans="1:7" s="10" customFormat="1" ht="15">
      <c r="A117" s="17">
        <v>109</v>
      </c>
      <c r="B117" s="22">
        <v>87</v>
      </c>
      <c r="C117" s="30" t="s">
        <v>22</v>
      </c>
      <c r="D117" s="48">
        <v>53</v>
      </c>
      <c r="E117" s="48">
        <v>55.71</v>
      </c>
      <c r="F117" s="47">
        <v>21</v>
      </c>
      <c r="G117" s="63">
        <f t="shared" si="3"/>
        <v>129.71</v>
      </c>
    </row>
    <row r="118" spans="1:7" s="67" customFormat="1" ht="15.75">
      <c r="A118" s="33"/>
      <c r="B118" s="70"/>
      <c r="C118" s="56" t="s">
        <v>70</v>
      </c>
      <c r="D118" s="54">
        <f t="shared" ref="D118:F118" si="4">SUM(D9:D117)</f>
        <v>79081.359999999986</v>
      </c>
      <c r="E118" s="54">
        <f t="shared" si="4"/>
        <v>20617.199999999997</v>
      </c>
      <c r="F118" s="54">
        <f t="shared" si="4"/>
        <v>2783</v>
      </c>
      <c r="G118" s="54">
        <f>SUM(G9:G117)</f>
        <v>102481.56000000003</v>
      </c>
    </row>
    <row r="119" spans="1:7" s="24" customFormat="1">
      <c r="B119" s="49"/>
      <c r="C119" s="25"/>
      <c r="D119" s="27"/>
      <c r="E119" s="27"/>
      <c r="F119" s="27"/>
      <c r="G119" s="27"/>
    </row>
    <row r="120" spans="1:7" s="24" customFormat="1">
      <c r="B120" s="49"/>
      <c r="C120" s="25"/>
      <c r="D120" s="27"/>
      <c r="E120" s="27"/>
      <c r="F120" s="27"/>
      <c r="G120" s="27"/>
    </row>
    <row r="121" spans="1:7" s="24" customFormat="1">
      <c r="B121" s="49"/>
      <c r="C121" s="25"/>
      <c r="D121" s="27"/>
      <c r="E121" s="27"/>
      <c r="F121" s="27"/>
      <c r="G121" s="27"/>
    </row>
    <row r="122" spans="1:7" s="24" customFormat="1">
      <c r="B122" s="49"/>
      <c r="C122" s="25"/>
      <c r="D122" s="27"/>
      <c r="E122" s="27"/>
      <c r="F122" s="27"/>
      <c r="G122" s="27"/>
    </row>
    <row r="123" spans="1:7" s="24" customFormat="1">
      <c r="B123" s="50"/>
      <c r="C123" s="14" t="s">
        <v>90</v>
      </c>
      <c r="D123" s="43"/>
      <c r="E123" s="43"/>
      <c r="F123" s="27"/>
      <c r="G123" s="27"/>
    </row>
    <row r="124" spans="1:7" s="24" customFormat="1">
      <c r="B124" s="49"/>
      <c r="C124" s="14" t="s">
        <v>76</v>
      </c>
      <c r="D124" s="43"/>
      <c r="E124" s="43"/>
      <c r="F124" s="27"/>
      <c r="G124" s="27"/>
    </row>
    <row r="125" spans="1:7" s="24" customFormat="1">
      <c r="B125" s="49"/>
      <c r="C125" s="25"/>
      <c r="D125" s="27"/>
      <c r="E125" s="27"/>
      <c r="F125" s="27"/>
      <c r="G125" s="27"/>
    </row>
    <row r="126" spans="1:7" s="10" customFormat="1" ht="25.5" customHeight="1">
      <c r="A126" s="123" t="s">
        <v>5</v>
      </c>
      <c r="B126" s="124" t="s">
        <v>0</v>
      </c>
      <c r="C126" s="124" t="s">
        <v>1</v>
      </c>
      <c r="D126" s="122" t="s">
        <v>110</v>
      </c>
      <c r="E126" s="122"/>
      <c r="F126" s="122"/>
      <c r="G126" s="122"/>
    </row>
    <row r="127" spans="1:7" ht="66.75" customHeight="1">
      <c r="A127" s="123"/>
      <c r="B127" s="124"/>
      <c r="C127" s="124"/>
      <c r="D127" s="46" t="s">
        <v>2</v>
      </c>
      <c r="E127" s="46" t="s">
        <v>3</v>
      </c>
      <c r="F127" s="29" t="s">
        <v>4</v>
      </c>
      <c r="G127" s="112" t="s">
        <v>109</v>
      </c>
    </row>
    <row r="128" spans="1:7" ht="25.5" customHeight="1">
      <c r="A128" s="97">
        <v>1</v>
      </c>
      <c r="B128" s="74">
        <v>62</v>
      </c>
      <c r="C128" s="74" t="s">
        <v>210</v>
      </c>
      <c r="D128" s="95">
        <f>127.8-2</f>
        <v>125.8</v>
      </c>
      <c r="E128" s="95">
        <v>308</v>
      </c>
      <c r="F128" s="94">
        <v>16</v>
      </c>
      <c r="G128" s="98">
        <f t="shared" ref="G128:G133" si="5">F128+E128+D128</f>
        <v>449.8</v>
      </c>
    </row>
    <row r="129" spans="1:7" ht="15.75">
      <c r="A129" s="77">
        <v>2</v>
      </c>
      <c r="B129" s="74">
        <v>114</v>
      </c>
      <c r="C129" s="74" t="s">
        <v>98</v>
      </c>
      <c r="D129" s="95">
        <v>42</v>
      </c>
      <c r="E129" s="95">
        <v>488.29</v>
      </c>
      <c r="F129" s="94">
        <v>6</v>
      </c>
      <c r="G129" s="98">
        <f t="shared" si="5"/>
        <v>536.29</v>
      </c>
    </row>
    <row r="130" spans="1:7" ht="15.75">
      <c r="A130" s="97">
        <v>3</v>
      </c>
      <c r="B130" s="74">
        <v>219</v>
      </c>
      <c r="C130" s="74" t="s">
        <v>189</v>
      </c>
      <c r="D130" s="95">
        <v>13</v>
      </c>
      <c r="E130" s="95">
        <v>75.5</v>
      </c>
      <c r="F130" s="95">
        <v>11</v>
      </c>
      <c r="G130" s="98">
        <f t="shared" si="5"/>
        <v>99.5</v>
      </c>
    </row>
    <row r="131" spans="1:7" ht="15.75">
      <c r="A131" s="77">
        <v>4</v>
      </c>
      <c r="B131" s="74">
        <v>251</v>
      </c>
      <c r="C131" s="31" t="s">
        <v>190</v>
      </c>
      <c r="D131" s="94">
        <f>82+35</f>
        <v>117</v>
      </c>
      <c r="E131" s="94">
        <v>209</v>
      </c>
      <c r="F131" s="95">
        <v>21</v>
      </c>
      <c r="G131" s="98">
        <f t="shared" si="5"/>
        <v>347</v>
      </c>
    </row>
    <row r="132" spans="1:7" ht="15.75">
      <c r="A132" s="97">
        <v>5</v>
      </c>
      <c r="B132" s="74">
        <v>275</v>
      </c>
      <c r="C132" s="31" t="s">
        <v>182</v>
      </c>
      <c r="D132" s="94">
        <f>42+35</f>
        <v>77</v>
      </c>
      <c r="E132" s="94">
        <v>190</v>
      </c>
      <c r="F132" s="95">
        <v>16</v>
      </c>
      <c r="G132" s="98">
        <f t="shared" si="5"/>
        <v>283</v>
      </c>
    </row>
    <row r="133" spans="1:7" ht="15.75">
      <c r="A133" s="77">
        <v>6</v>
      </c>
      <c r="B133" s="74">
        <v>285</v>
      </c>
      <c r="C133" s="31" t="s">
        <v>203</v>
      </c>
      <c r="D133" s="94">
        <v>62</v>
      </c>
      <c r="E133" s="94">
        <v>66.33</v>
      </c>
      <c r="F133" s="95">
        <v>16</v>
      </c>
      <c r="G133" s="98">
        <f t="shared" si="5"/>
        <v>144.32999999999998</v>
      </c>
    </row>
    <row r="134" spans="1:7" ht="26.25">
      <c r="A134" s="97">
        <v>7</v>
      </c>
      <c r="B134" s="74">
        <v>287</v>
      </c>
      <c r="C134" s="79" t="s">
        <v>390</v>
      </c>
      <c r="D134" s="94">
        <v>0</v>
      </c>
      <c r="E134" s="94">
        <v>40</v>
      </c>
      <c r="F134" s="95">
        <v>6</v>
      </c>
      <c r="G134" s="98">
        <f>D134+E134+F134</f>
        <v>46</v>
      </c>
    </row>
    <row r="135" spans="1:7" s="64" customFormat="1" ht="15.75">
      <c r="A135" s="84"/>
      <c r="B135" s="85"/>
      <c r="C135" s="85" t="s">
        <v>70</v>
      </c>
      <c r="D135" s="86">
        <f>SUM(D128:D134)</f>
        <v>436.8</v>
      </c>
      <c r="E135" s="86">
        <f t="shared" ref="E135:G135" si="6">SUM(E128:E134)</f>
        <v>1377.12</v>
      </c>
      <c r="F135" s="86">
        <f t="shared" si="6"/>
        <v>92</v>
      </c>
      <c r="G135" s="86">
        <f t="shared" si="6"/>
        <v>1905.9199999999998</v>
      </c>
    </row>
  </sheetData>
  <sortState ref="A10:G117">
    <sortCondition descending="1" ref="G9:G117"/>
  </sortState>
  <mergeCells count="8">
    <mergeCell ref="A126:A127"/>
    <mergeCell ref="B126:B127"/>
    <mergeCell ref="C126:C127"/>
    <mergeCell ref="D126:G126"/>
    <mergeCell ref="D7:G7"/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scale="72" fitToHeight="2" orientation="portrait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D122"/>
  <sheetViews>
    <sheetView zoomScaleNormal="100" workbookViewId="0">
      <pane ySplit="8" topLeftCell="A9" activePane="bottomLeft" state="frozen"/>
      <selection activeCell="H121" sqref="H121:H128"/>
      <selection pane="bottomLeft" sqref="A1:XFD1048576"/>
    </sheetView>
  </sheetViews>
  <sheetFormatPr defaultRowHeight="12.75"/>
  <cols>
    <col min="1" max="1" width="9.140625" style="16"/>
    <col min="2" max="2" width="9.85546875" style="51" customWidth="1"/>
    <col min="3" max="3" width="34.42578125" style="23" customWidth="1"/>
    <col min="4" max="4" width="26" style="16" customWidth="1"/>
    <col min="5" max="16384" width="9.140625" style="16"/>
  </cols>
  <sheetData>
    <row r="2" spans="1:4" s="24" customFormat="1">
      <c r="B2" s="49"/>
      <c r="C2" s="25"/>
    </row>
    <row r="3" spans="1:4" s="24" customFormat="1">
      <c r="A3" s="25"/>
      <c r="B3" s="49"/>
      <c r="C3" s="14" t="s">
        <v>133</v>
      </c>
    </row>
    <row r="4" spans="1:4" s="24" customFormat="1">
      <c r="B4" s="49"/>
      <c r="C4" s="26" t="s">
        <v>90</v>
      </c>
    </row>
    <row r="5" spans="1:4" s="24" customFormat="1">
      <c r="B5" s="49"/>
      <c r="C5" s="26"/>
    </row>
    <row r="6" spans="1:4" s="24" customFormat="1">
      <c r="B6" s="49"/>
      <c r="C6" s="21" t="s">
        <v>386</v>
      </c>
    </row>
    <row r="7" spans="1:4" s="10" customFormat="1" ht="25.5" customHeight="1">
      <c r="A7" s="123" t="s">
        <v>5</v>
      </c>
      <c r="B7" s="124" t="s">
        <v>0</v>
      </c>
      <c r="C7" s="124" t="s">
        <v>1</v>
      </c>
      <c r="D7" s="111" t="s">
        <v>91</v>
      </c>
    </row>
    <row r="8" spans="1:4" ht="75" customHeight="1">
      <c r="A8" s="123"/>
      <c r="B8" s="124"/>
      <c r="C8" s="124"/>
      <c r="D8" s="37" t="s">
        <v>146</v>
      </c>
    </row>
    <row r="9" spans="1:4" ht="15">
      <c r="A9" s="17">
        <v>1</v>
      </c>
      <c r="B9" s="22">
        <v>89</v>
      </c>
      <c r="C9" s="31" t="s">
        <v>121</v>
      </c>
      <c r="D9" s="63">
        <f>131+158+149+160+151+148</f>
        <v>897</v>
      </c>
    </row>
    <row r="10" spans="1:4" ht="15">
      <c r="A10" s="17">
        <v>2</v>
      </c>
      <c r="B10" s="22">
        <v>112</v>
      </c>
      <c r="C10" s="39" t="s">
        <v>29</v>
      </c>
      <c r="D10" s="63">
        <f>153+143+141+138+138</f>
        <v>713</v>
      </c>
    </row>
    <row r="11" spans="1:4" ht="15">
      <c r="A11" s="17">
        <v>3</v>
      </c>
      <c r="B11" s="22">
        <v>166</v>
      </c>
      <c r="C11" s="22" t="s">
        <v>52</v>
      </c>
      <c r="D11" s="63">
        <f>151+144+81+79+126</f>
        <v>581</v>
      </c>
    </row>
    <row r="12" spans="1:4" s="10" customFormat="1" ht="15">
      <c r="A12" s="17">
        <v>4</v>
      </c>
      <c r="B12" s="22">
        <v>127</v>
      </c>
      <c r="C12" s="73" t="s">
        <v>178</v>
      </c>
      <c r="D12" s="63">
        <f>150+156+112</f>
        <v>418</v>
      </c>
    </row>
    <row r="13" spans="1:4" ht="15">
      <c r="A13" s="17">
        <v>5</v>
      </c>
      <c r="B13" s="22">
        <v>206</v>
      </c>
      <c r="C13" s="18" t="s">
        <v>126</v>
      </c>
      <c r="D13" s="63">
        <f>73+73+112+73</f>
        <v>331</v>
      </c>
    </row>
    <row r="14" spans="1:4" ht="15">
      <c r="A14" s="17">
        <v>6</v>
      </c>
      <c r="B14" s="22">
        <v>6</v>
      </c>
      <c r="C14" s="30" t="s">
        <v>7</v>
      </c>
      <c r="D14" s="63">
        <f>108+108+92</f>
        <v>308</v>
      </c>
    </row>
    <row r="15" spans="1:4" ht="15">
      <c r="A15" s="17">
        <v>7</v>
      </c>
      <c r="B15" s="22">
        <v>250</v>
      </c>
      <c r="C15" s="19" t="s">
        <v>102</v>
      </c>
      <c r="D15" s="63">
        <f>150+147</f>
        <v>297</v>
      </c>
    </row>
    <row r="16" spans="1:4" ht="15">
      <c r="A16" s="17">
        <v>8</v>
      </c>
      <c r="B16" s="22">
        <v>74</v>
      </c>
      <c r="C16" s="30" t="s">
        <v>18</v>
      </c>
      <c r="D16" s="63">
        <f>146+146</f>
        <v>292</v>
      </c>
    </row>
    <row r="17" spans="1:4" ht="15">
      <c r="A17" s="17">
        <v>9</v>
      </c>
      <c r="B17" s="39">
        <v>142</v>
      </c>
      <c r="C17" s="39" t="s">
        <v>44</v>
      </c>
      <c r="D17" s="63">
        <f>131+158</f>
        <v>289</v>
      </c>
    </row>
    <row r="18" spans="1:4" ht="15">
      <c r="A18" s="17">
        <v>10</v>
      </c>
      <c r="B18" s="22">
        <v>37</v>
      </c>
      <c r="C18" s="30" t="s">
        <v>99</v>
      </c>
      <c r="D18" s="63">
        <f>128+156</f>
        <v>284</v>
      </c>
    </row>
    <row r="19" spans="1:4" ht="15">
      <c r="A19" s="17">
        <v>11</v>
      </c>
      <c r="B19" s="22">
        <v>96</v>
      </c>
      <c r="C19" s="39" t="s">
        <v>25</v>
      </c>
      <c r="D19" s="63">
        <v>280</v>
      </c>
    </row>
    <row r="20" spans="1:4" ht="15">
      <c r="A20" s="17">
        <v>12</v>
      </c>
      <c r="B20" s="39">
        <v>143</v>
      </c>
      <c r="C20" s="39" t="s">
        <v>128</v>
      </c>
      <c r="D20" s="63">
        <f>137+143</f>
        <v>280</v>
      </c>
    </row>
    <row r="21" spans="1:4" ht="15">
      <c r="A21" s="17">
        <v>13</v>
      </c>
      <c r="B21" s="22">
        <v>264</v>
      </c>
      <c r="C21" s="31" t="s">
        <v>131</v>
      </c>
      <c r="D21" s="63">
        <f>139+139</f>
        <v>278</v>
      </c>
    </row>
    <row r="22" spans="1:4" ht="15">
      <c r="A22" s="17">
        <v>14</v>
      </c>
      <c r="B22" s="22">
        <v>102</v>
      </c>
      <c r="C22" s="22" t="s">
        <v>96</v>
      </c>
      <c r="D22" s="63">
        <f>137+132</f>
        <v>269</v>
      </c>
    </row>
    <row r="23" spans="1:4" ht="15">
      <c r="A23" s="17">
        <v>15</v>
      </c>
      <c r="B23" s="22">
        <v>94</v>
      </c>
      <c r="C23" s="30" t="s">
        <v>24</v>
      </c>
      <c r="D23" s="63">
        <f>132+132</f>
        <v>264</v>
      </c>
    </row>
    <row r="24" spans="1:4" ht="15">
      <c r="A24" s="17">
        <v>16</v>
      </c>
      <c r="B24" s="22">
        <v>44</v>
      </c>
      <c r="C24" s="30" t="s">
        <v>12</v>
      </c>
      <c r="D24" s="63">
        <f>141+120</f>
        <v>261</v>
      </c>
    </row>
    <row r="25" spans="1:4" ht="15">
      <c r="A25" s="17">
        <v>17</v>
      </c>
      <c r="B25" s="22">
        <v>109</v>
      </c>
      <c r="C25" s="39" t="s">
        <v>129</v>
      </c>
      <c r="D25" s="63">
        <f>125+134</f>
        <v>259</v>
      </c>
    </row>
    <row r="26" spans="1:4" ht="26.25">
      <c r="A26" s="17">
        <v>18</v>
      </c>
      <c r="B26" s="22">
        <v>227</v>
      </c>
      <c r="C26" s="18" t="s">
        <v>85</v>
      </c>
      <c r="D26" s="63">
        <f>124+131</f>
        <v>255</v>
      </c>
    </row>
    <row r="27" spans="1:4" ht="15">
      <c r="A27" s="17">
        <v>19</v>
      </c>
      <c r="B27" s="39">
        <v>164</v>
      </c>
      <c r="C27" s="22" t="s">
        <v>51</v>
      </c>
      <c r="D27" s="63">
        <f>127+127</f>
        <v>254</v>
      </c>
    </row>
    <row r="28" spans="1:4" ht="15">
      <c r="A28" s="17">
        <v>20</v>
      </c>
      <c r="B28" s="22">
        <v>81</v>
      </c>
      <c r="C28" s="30" t="s">
        <v>20</v>
      </c>
      <c r="D28" s="63">
        <f>121+130</f>
        <v>251</v>
      </c>
    </row>
    <row r="29" spans="1:4" ht="15">
      <c r="A29" s="17">
        <v>21</v>
      </c>
      <c r="B29" s="42">
        <v>218</v>
      </c>
      <c r="C29" s="36" t="s">
        <v>79</v>
      </c>
      <c r="D29" s="63">
        <f>89+133</f>
        <v>222</v>
      </c>
    </row>
    <row r="30" spans="1:4" ht="15">
      <c r="A30" s="17">
        <v>22</v>
      </c>
      <c r="B30" s="22">
        <v>189</v>
      </c>
      <c r="C30" s="19" t="s">
        <v>75</v>
      </c>
      <c r="D30" s="63">
        <f>141+80</f>
        <v>221</v>
      </c>
    </row>
    <row r="31" spans="1:4" ht="15">
      <c r="A31" s="17">
        <v>23</v>
      </c>
      <c r="B31" s="92">
        <v>283</v>
      </c>
      <c r="C31" s="93" t="s">
        <v>214</v>
      </c>
      <c r="D31" s="63">
        <v>164</v>
      </c>
    </row>
    <row r="32" spans="1:4" ht="15">
      <c r="A32" s="17">
        <v>24</v>
      </c>
      <c r="B32" s="22">
        <v>236</v>
      </c>
      <c r="C32" s="19" t="s">
        <v>124</v>
      </c>
      <c r="D32" s="63">
        <v>161</v>
      </c>
    </row>
    <row r="33" spans="1:4" ht="15">
      <c r="A33" s="17">
        <v>25</v>
      </c>
      <c r="B33" s="22">
        <v>274</v>
      </c>
      <c r="C33" s="38" t="s">
        <v>184</v>
      </c>
      <c r="D33" s="63">
        <v>156</v>
      </c>
    </row>
    <row r="34" spans="1:4" ht="15">
      <c r="A34" s="17">
        <v>26</v>
      </c>
      <c r="B34" s="22">
        <v>253</v>
      </c>
      <c r="C34" s="19" t="s">
        <v>123</v>
      </c>
      <c r="D34" s="63">
        <f>153+2</f>
        <v>155</v>
      </c>
    </row>
    <row r="35" spans="1:4" ht="15">
      <c r="A35" s="17">
        <v>27</v>
      </c>
      <c r="B35" s="39">
        <v>154</v>
      </c>
      <c r="C35" s="22" t="s">
        <v>47</v>
      </c>
      <c r="D35" s="63">
        <v>153</v>
      </c>
    </row>
    <row r="36" spans="1:4" ht="15">
      <c r="A36" s="17">
        <v>28</v>
      </c>
      <c r="B36" s="22">
        <v>244</v>
      </c>
      <c r="C36" s="19" t="s">
        <v>104</v>
      </c>
      <c r="D36" s="63">
        <v>151</v>
      </c>
    </row>
    <row r="37" spans="1:4" s="10" customFormat="1" ht="15">
      <c r="A37" s="17">
        <v>29</v>
      </c>
      <c r="B37" s="22">
        <v>153</v>
      </c>
      <c r="C37" s="22" t="s">
        <v>132</v>
      </c>
      <c r="D37" s="63">
        <v>148</v>
      </c>
    </row>
    <row r="38" spans="1:4" ht="15">
      <c r="A38" s="17">
        <v>30</v>
      </c>
      <c r="B38" s="22">
        <v>186</v>
      </c>
      <c r="C38" s="18" t="s">
        <v>92</v>
      </c>
      <c r="D38" s="63">
        <v>147</v>
      </c>
    </row>
    <row r="39" spans="1:4" ht="15">
      <c r="A39" s="17">
        <v>31</v>
      </c>
      <c r="B39" s="22">
        <v>260</v>
      </c>
      <c r="C39" s="19" t="s">
        <v>116</v>
      </c>
      <c r="D39" s="63">
        <v>147</v>
      </c>
    </row>
    <row r="40" spans="1:4" ht="15">
      <c r="A40" s="17">
        <v>32</v>
      </c>
      <c r="B40" s="22">
        <v>170</v>
      </c>
      <c r="C40" s="22" t="s">
        <v>127</v>
      </c>
      <c r="D40" s="63">
        <v>146</v>
      </c>
    </row>
    <row r="41" spans="1:4" ht="15">
      <c r="A41" s="17">
        <v>33</v>
      </c>
      <c r="B41" s="22">
        <v>27</v>
      </c>
      <c r="C41" s="30" t="s">
        <v>10</v>
      </c>
      <c r="D41" s="63">
        <v>145</v>
      </c>
    </row>
    <row r="42" spans="1:4" ht="15">
      <c r="A42" s="17">
        <v>34</v>
      </c>
      <c r="B42" s="22">
        <v>35</v>
      </c>
      <c r="C42" s="30" t="s">
        <v>86</v>
      </c>
      <c r="D42" s="63">
        <v>144</v>
      </c>
    </row>
    <row r="43" spans="1:4" ht="15">
      <c r="A43" s="17">
        <v>35</v>
      </c>
      <c r="B43" s="22">
        <v>76</v>
      </c>
      <c r="C43" s="30" t="s">
        <v>19</v>
      </c>
      <c r="D43" s="63">
        <v>144</v>
      </c>
    </row>
    <row r="44" spans="1:4" ht="15">
      <c r="A44" s="17">
        <v>36</v>
      </c>
      <c r="B44" s="22">
        <v>268</v>
      </c>
      <c r="C44" s="31" t="s">
        <v>185</v>
      </c>
      <c r="D44" s="63">
        <v>144</v>
      </c>
    </row>
    <row r="45" spans="1:4" ht="15">
      <c r="A45" s="17">
        <v>37</v>
      </c>
      <c r="B45" s="22">
        <v>269</v>
      </c>
      <c r="C45" s="31" t="s">
        <v>187</v>
      </c>
      <c r="D45" s="63">
        <v>144</v>
      </c>
    </row>
    <row r="46" spans="1:4" ht="15">
      <c r="A46" s="17">
        <v>38</v>
      </c>
      <c r="B46" s="22">
        <v>72</v>
      </c>
      <c r="C46" s="30" t="s">
        <v>17</v>
      </c>
      <c r="D46" s="63">
        <v>143</v>
      </c>
    </row>
    <row r="47" spans="1:4" ht="15">
      <c r="A47" s="17">
        <v>39</v>
      </c>
      <c r="B47" s="22">
        <v>119</v>
      </c>
      <c r="C47" s="39" t="s">
        <v>34</v>
      </c>
      <c r="D47" s="63">
        <v>143</v>
      </c>
    </row>
    <row r="48" spans="1:4" ht="15">
      <c r="A48" s="17">
        <v>40</v>
      </c>
      <c r="B48" s="22">
        <v>261</v>
      </c>
      <c r="C48" s="19" t="s">
        <v>113</v>
      </c>
      <c r="D48" s="63">
        <v>143</v>
      </c>
    </row>
    <row r="49" spans="1:4" ht="15">
      <c r="A49" s="17">
        <v>41</v>
      </c>
      <c r="B49" s="22">
        <v>117</v>
      </c>
      <c r="C49" s="39" t="s">
        <v>32</v>
      </c>
      <c r="D49" s="63">
        <v>142</v>
      </c>
    </row>
    <row r="50" spans="1:4" ht="15">
      <c r="A50" s="17">
        <v>42</v>
      </c>
      <c r="B50" s="22">
        <v>123</v>
      </c>
      <c r="C50" s="39" t="s">
        <v>37</v>
      </c>
      <c r="D50" s="63">
        <v>142</v>
      </c>
    </row>
    <row r="51" spans="1:4" ht="15">
      <c r="A51" s="17">
        <v>43</v>
      </c>
      <c r="B51" s="39">
        <v>136</v>
      </c>
      <c r="C51" s="40" t="s">
        <v>40</v>
      </c>
      <c r="D51" s="63">
        <v>142</v>
      </c>
    </row>
    <row r="52" spans="1:4" ht="15">
      <c r="A52" s="17">
        <v>44</v>
      </c>
      <c r="B52" s="22">
        <v>248</v>
      </c>
      <c r="C52" s="19" t="s">
        <v>100</v>
      </c>
      <c r="D52" s="63">
        <v>142</v>
      </c>
    </row>
    <row r="53" spans="1:4" ht="15">
      <c r="A53" s="17">
        <v>45</v>
      </c>
      <c r="B53" s="22">
        <v>82</v>
      </c>
      <c r="C53" s="30" t="s">
        <v>21</v>
      </c>
      <c r="D53" s="63">
        <v>141</v>
      </c>
    </row>
    <row r="54" spans="1:4" ht="15">
      <c r="A54" s="17">
        <v>46</v>
      </c>
      <c r="B54" s="22">
        <v>86</v>
      </c>
      <c r="C54" s="31" t="s">
        <v>130</v>
      </c>
      <c r="D54" s="63">
        <v>141</v>
      </c>
    </row>
    <row r="55" spans="1:4" ht="15">
      <c r="A55" s="17">
        <v>47</v>
      </c>
      <c r="B55" s="22">
        <v>67</v>
      </c>
      <c r="C55" s="30" t="s">
        <v>14</v>
      </c>
      <c r="D55" s="63">
        <v>139</v>
      </c>
    </row>
    <row r="56" spans="1:4" ht="15">
      <c r="A56" s="17">
        <v>48</v>
      </c>
      <c r="B56" s="22">
        <v>217</v>
      </c>
      <c r="C56" s="18" t="s">
        <v>80</v>
      </c>
      <c r="D56" s="63">
        <v>139</v>
      </c>
    </row>
    <row r="57" spans="1:4" ht="15">
      <c r="A57" s="17">
        <v>49</v>
      </c>
      <c r="B57" s="22">
        <v>266</v>
      </c>
      <c r="C57" s="31" t="s">
        <v>179</v>
      </c>
      <c r="D57" s="63">
        <v>138</v>
      </c>
    </row>
    <row r="58" spans="1:4" ht="26.25">
      <c r="A58" s="17">
        <v>50</v>
      </c>
      <c r="B58" s="22">
        <v>124</v>
      </c>
      <c r="C58" s="39" t="s">
        <v>38</v>
      </c>
      <c r="D58" s="63">
        <v>136</v>
      </c>
    </row>
    <row r="59" spans="1:4" ht="15">
      <c r="A59" s="17">
        <v>51</v>
      </c>
      <c r="B59" s="22">
        <v>121</v>
      </c>
      <c r="C59" s="39" t="s">
        <v>35</v>
      </c>
      <c r="D59" s="63">
        <v>135</v>
      </c>
    </row>
    <row r="60" spans="1:4" ht="15">
      <c r="A60" s="17">
        <v>52</v>
      </c>
      <c r="B60" s="22">
        <v>208</v>
      </c>
      <c r="C60" s="30" t="s">
        <v>78</v>
      </c>
      <c r="D60" s="63">
        <v>134</v>
      </c>
    </row>
    <row r="61" spans="1:4" s="10" customFormat="1" ht="15">
      <c r="A61" s="17">
        <v>53</v>
      </c>
      <c r="B61" s="92">
        <v>284</v>
      </c>
      <c r="C61" s="92" t="s">
        <v>208</v>
      </c>
      <c r="D61" s="63">
        <v>134</v>
      </c>
    </row>
    <row r="62" spans="1:4" ht="15">
      <c r="A62" s="17">
        <v>54</v>
      </c>
      <c r="B62" s="22">
        <v>125</v>
      </c>
      <c r="C62" s="39" t="s">
        <v>39</v>
      </c>
      <c r="D62" s="63">
        <v>133</v>
      </c>
    </row>
    <row r="63" spans="1:4" ht="15">
      <c r="A63" s="17">
        <v>55</v>
      </c>
      <c r="B63" s="22">
        <v>272</v>
      </c>
      <c r="C63" s="31" t="s">
        <v>181</v>
      </c>
      <c r="D63" s="63">
        <v>133</v>
      </c>
    </row>
    <row r="64" spans="1:4" ht="15">
      <c r="A64" s="17">
        <v>56</v>
      </c>
      <c r="B64" s="22">
        <v>122</v>
      </c>
      <c r="C64" s="39" t="s">
        <v>36</v>
      </c>
      <c r="D64" s="63">
        <v>130</v>
      </c>
    </row>
    <row r="65" spans="1:4" ht="15">
      <c r="A65" s="17">
        <v>57</v>
      </c>
      <c r="B65" s="22">
        <v>263</v>
      </c>
      <c r="C65" s="19" t="s">
        <v>122</v>
      </c>
      <c r="D65" s="63">
        <v>130</v>
      </c>
    </row>
    <row r="66" spans="1:4" ht="15">
      <c r="A66" s="17">
        <v>58</v>
      </c>
      <c r="B66" s="39">
        <v>234</v>
      </c>
      <c r="C66" s="22" t="s">
        <v>125</v>
      </c>
      <c r="D66" s="63">
        <v>129</v>
      </c>
    </row>
    <row r="67" spans="1:4" ht="15">
      <c r="A67" s="17">
        <v>59</v>
      </c>
      <c r="B67" s="22">
        <v>118</v>
      </c>
      <c r="C67" s="39" t="s">
        <v>33</v>
      </c>
      <c r="D67" s="63">
        <v>128</v>
      </c>
    </row>
    <row r="68" spans="1:4" ht="15">
      <c r="A68" s="17">
        <v>60</v>
      </c>
      <c r="B68" s="22">
        <v>273</v>
      </c>
      <c r="C68" s="31" t="s">
        <v>183</v>
      </c>
      <c r="D68" s="63">
        <v>126</v>
      </c>
    </row>
    <row r="69" spans="1:4" ht="15">
      <c r="A69" s="17">
        <v>61</v>
      </c>
      <c r="B69" s="22">
        <v>237</v>
      </c>
      <c r="C69" s="19" t="s">
        <v>94</v>
      </c>
      <c r="D69" s="63">
        <v>125</v>
      </c>
    </row>
    <row r="70" spans="1:4" ht="15">
      <c r="A70" s="17">
        <v>62</v>
      </c>
      <c r="B70" s="22">
        <v>182</v>
      </c>
      <c r="C70" s="19" t="s">
        <v>71</v>
      </c>
      <c r="D70" s="63">
        <v>123</v>
      </c>
    </row>
    <row r="71" spans="1:4" ht="15">
      <c r="A71" s="17">
        <v>63</v>
      </c>
      <c r="B71" s="22">
        <v>211</v>
      </c>
      <c r="C71" s="18" t="s">
        <v>81</v>
      </c>
      <c r="D71" s="63">
        <v>123</v>
      </c>
    </row>
    <row r="72" spans="1:4" ht="15">
      <c r="A72" s="17">
        <v>64</v>
      </c>
      <c r="B72" s="39">
        <v>141</v>
      </c>
      <c r="C72" s="41" t="s">
        <v>43</v>
      </c>
      <c r="D72" s="63">
        <v>122</v>
      </c>
    </row>
    <row r="73" spans="1:4" ht="15">
      <c r="A73" s="17">
        <v>65</v>
      </c>
      <c r="B73" s="22">
        <v>228</v>
      </c>
      <c r="C73" s="18" t="s">
        <v>95</v>
      </c>
      <c r="D73" s="63">
        <v>122</v>
      </c>
    </row>
    <row r="74" spans="1:4" ht="15">
      <c r="A74" s="17">
        <v>66</v>
      </c>
      <c r="B74" s="92">
        <v>278</v>
      </c>
      <c r="C74" s="93" t="s">
        <v>205</v>
      </c>
      <c r="D74" s="63">
        <v>122</v>
      </c>
    </row>
    <row r="75" spans="1:4" ht="15">
      <c r="A75" s="17">
        <v>67</v>
      </c>
      <c r="B75" s="22">
        <v>155</v>
      </c>
      <c r="C75" s="22" t="s">
        <v>48</v>
      </c>
      <c r="D75" s="63">
        <v>119</v>
      </c>
    </row>
    <row r="76" spans="1:4" ht="15">
      <c r="A76" s="17">
        <v>68</v>
      </c>
      <c r="B76" s="22">
        <v>167</v>
      </c>
      <c r="C76" s="22" t="s">
        <v>53</v>
      </c>
      <c r="D76" s="63">
        <v>118</v>
      </c>
    </row>
    <row r="77" spans="1:4" ht="15">
      <c r="A77" s="17">
        <v>69</v>
      </c>
      <c r="B77" s="22">
        <v>180</v>
      </c>
      <c r="C77" s="19" t="s">
        <v>72</v>
      </c>
      <c r="D77" s="63">
        <v>118</v>
      </c>
    </row>
    <row r="78" spans="1:4" ht="15">
      <c r="A78" s="17">
        <v>70</v>
      </c>
      <c r="B78" s="22">
        <v>98</v>
      </c>
      <c r="C78" s="39" t="s">
        <v>105</v>
      </c>
      <c r="D78" s="63">
        <v>116</v>
      </c>
    </row>
    <row r="79" spans="1:4" ht="15">
      <c r="A79" s="17">
        <v>71</v>
      </c>
      <c r="B79" s="22">
        <v>271</v>
      </c>
      <c r="C79" s="31" t="s">
        <v>188</v>
      </c>
      <c r="D79" s="63">
        <v>116</v>
      </c>
    </row>
    <row r="80" spans="1:4" ht="15">
      <c r="A80" s="17">
        <v>72</v>
      </c>
      <c r="B80" s="22">
        <v>110</v>
      </c>
      <c r="C80" s="39" t="s">
        <v>28</v>
      </c>
      <c r="D80" s="63">
        <v>115</v>
      </c>
    </row>
    <row r="81" spans="1:4" ht="15">
      <c r="A81" s="17">
        <v>73</v>
      </c>
      <c r="B81" s="22">
        <v>116</v>
      </c>
      <c r="C81" s="39" t="s">
        <v>31</v>
      </c>
      <c r="D81" s="63">
        <v>115</v>
      </c>
    </row>
    <row r="82" spans="1:4" ht="15">
      <c r="A82" s="17">
        <v>74</v>
      </c>
      <c r="B82" s="39">
        <v>147</v>
      </c>
      <c r="C82" s="39" t="s">
        <v>45</v>
      </c>
      <c r="D82" s="63">
        <v>115</v>
      </c>
    </row>
    <row r="83" spans="1:4" ht="26.25">
      <c r="A83" s="17">
        <v>75</v>
      </c>
      <c r="B83" s="22">
        <v>229</v>
      </c>
      <c r="C83" s="38" t="s">
        <v>392</v>
      </c>
      <c r="D83" s="63">
        <v>115</v>
      </c>
    </row>
    <row r="84" spans="1:4" ht="15">
      <c r="A84" s="17">
        <v>76</v>
      </c>
      <c r="B84" s="22">
        <v>32</v>
      </c>
      <c r="C84" s="30" t="s">
        <v>11</v>
      </c>
      <c r="D84" s="63">
        <v>111</v>
      </c>
    </row>
    <row r="85" spans="1:4" ht="15">
      <c r="A85" s="17">
        <v>77</v>
      </c>
      <c r="B85" s="22">
        <v>90</v>
      </c>
      <c r="C85" s="30" t="s">
        <v>23</v>
      </c>
      <c r="D85" s="63">
        <v>109</v>
      </c>
    </row>
    <row r="86" spans="1:4" ht="15">
      <c r="A86" s="17">
        <v>78</v>
      </c>
      <c r="B86" s="22">
        <v>115</v>
      </c>
      <c r="C86" s="115" t="s">
        <v>30</v>
      </c>
      <c r="D86" s="63">
        <v>109</v>
      </c>
    </row>
    <row r="87" spans="1:4" s="10" customFormat="1" ht="15">
      <c r="A87" s="17">
        <v>79</v>
      </c>
      <c r="B87" s="39">
        <v>139</v>
      </c>
      <c r="C87" s="39" t="s">
        <v>42</v>
      </c>
      <c r="D87" s="63">
        <v>109</v>
      </c>
    </row>
    <row r="88" spans="1:4" s="10" customFormat="1" ht="15">
      <c r="A88" s="17">
        <v>80</v>
      </c>
      <c r="B88" s="22">
        <v>101</v>
      </c>
      <c r="C88" s="39" t="s">
        <v>27</v>
      </c>
      <c r="D88" s="63">
        <v>107</v>
      </c>
    </row>
    <row r="89" spans="1:4" s="10" customFormat="1" ht="15">
      <c r="A89" s="17">
        <v>81</v>
      </c>
      <c r="B89" s="22">
        <v>213</v>
      </c>
      <c r="C89" s="18" t="s">
        <v>82</v>
      </c>
      <c r="D89" s="63">
        <v>107</v>
      </c>
    </row>
    <row r="90" spans="1:4" s="10" customFormat="1" ht="15">
      <c r="A90" s="17">
        <v>82</v>
      </c>
      <c r="B90" s="39">
        <v>132</v>
      </c>
      <c r="C90" s="39" t="s">
        <v>83</v>
      </c>
      <c r="D90" s="63">
        <v>106</v>
      </c>
    </row>
    <row r="91" spans="1:4" s="10" customFormat="1" ht="15">
      <c r="A91" s="17">
        <v>83</v>
      </c>
      <c r="B91" s="22">
        <v>270</v>
      </c>
      <c r="C91" s="31" t="s">
        <v>186</v>
      </c>
      <c r="D91" s="63">
        <v>104</v>
      </c>
    </row>
    <row r="92" spans="1:4" s="10" customFormat="1" ht="15">
      <c r="A92" s="17">
        <v>84</v>
      </c>
      <c r="B92" s="22">
        <v>7</v>
      </c>
      <c r="C92" s="39" t="s">
        <v>8</v>
      </c>
      <c r="D92" s="63">
        <v>103</v>
      </c>
    </row>
    <row r="93" spans="1:4" s="10" customFormat="1" ht="15">
      <c r="A93" s="17">
        <v>85</v>
      </c>
      <c r="B93" s="39">
        <v>138</v>
      </c>
      <c r="C93" s="39" t="s">
        <v>41</v>
      </c>
      <c r="D93" s="63">
        <v>101</v>
      </c>
    </row>
    <row r="94" spans="1:4" s="10" customFormat="1" ht="15">
      <c r="A94" s="17">
        <v>86</v>
      </c>
      <c r="B94" s="22">
        <v>99</v>
      </c>
      <c r="C94" s="39" t="s">
        <v>26</v>
      </c>
      <c r="D94" s="63">
        <v>99</v>
      </c>
    </row>
    <row r="95" spans="1:4" s="10" customFormat="1" ht="15">
      <c r="A95" s="17">
        <v>87</v>
      </c>
      <c r="B95" s="22">
        <v>262</v>
      </c>
      <c r="C95" s="19" t="s">
        <v>115</v>
      </c>
      <c r="D95" s="63">
        <v>99</v>
      </c>
    </row>
    <row r="96" spans="1:4" s="10" customFormat="1" ht="15">
      <c r="A96" s="17">
        <v>88</v>
      </c>
      <c r="B96" s="22">
        <v>68</v>
      </c>
      <c r="C96" s="30" t="s">
        <v>15</v>
      </c>
      <c r="D96" s="63">
        <v>97</v>
      </c>
    </row>
    <row r="97" spans="1:4" s="10" customFormat="1" ht="15">
      <c r="A97" s="17">
        <v>89</v>
      </c>
      <c r="B97" s="92">
        <v>282</v>
      </c>
      <c r="C97" s="93" t="s">
        <v>209</v>
      </c>
      <c r="D97" s="63">
        <v>96</v>
      </c>
    </row>
    <row r="98" spans="1:4" s="10" customFormat="1" ht="15">
      <c r="A98" s="17">
        <v>90</v>
      </c>
      <c r="B98" s="74">
        <v>194</v>
      </c>
      <c r="C98" s="74" t="s">
        <v>200</v>
      </c>
      <c r="D98" s="63">
        <v>94</v>
      </c>
    </row>
    <row r="99" spans="1:4" s="10" customFormat="1" ht="15">
      <c r="A99" s="17">
        <v>91</v>
      </c>
      <c r="B99" s="22">
        <v>2</v>
      </c>
      <c r="C99" s="30" t="s">
        <v>6</v>
      </c>
      <c r="D99" s="63">
        <v>93</v>
      </c>
    </row>
    <row r="100" spans="1:4" s="10" customFormat="1" ht="15">
      <c r="A100" s="17">
        <v>92</v>
      </c>
      <c r="B100" s="22">
        <v>157</v>
      </c>
      <c r="C100" s="22" t="s">
        <v>49</v>
      </c>
      <c r="D100" s="63">
        <v>93</v>
      </c>
    </row>
    <row r="101" spans="1:4" s="10" customFormat="1" ht="15">
      <c r="A101" s="17">
        <v>93</v>
      </c>
      <c r="B101" s="22">
        <v>151</v>
      </c>
      <c r="C101" s="22" t="s">
        <v>46</v>
      </c>
      <c r="D101" s="63">
        <v>91</v>
      </c>
    </row>
    <row r="102" spans="1:4" s="10" customFormat="1" ht="15">
      <c r="A102" s="17">
        <v>94</v>
      </c>
      <c r="B102" s="22">
        <v>46</v>
      </c>
      <c r="C102" s="30" t="s">
        <v>13</v>
      </c>
      <c r="D102" s="63">
        <v>89</v>
      </c>
    </row>
    <row r="103" spans="1:4" s="10" customFormat="1" ht="15">
      <c r="A103" s="17">
        <v>95</v>
      </c>
      <c r="B103" s="22">
        <v>207</v>
      </c>
      <c r="C103" s="39" t="s">
        <v>77</v>
      </c>
      <c r="D103" s="63">
        <v>85</v>
      </c>
    </row>
    <row r="104" spans="1:4" s="10" customFormat="1" ht="15">
      <c r="A104" s="17">
        <v>96</v>
      </c>
      <c r="B104" s="92">
        <v>280</v>
      </c>
      <c r="C104" s="93" t="s">
        <v>207</v>
      </c>
      <c r="D104" s="63">
        <v>84</v>
      </c>
    </row>
    <row r="105" spans="1:4" s="10" customFormat="1" ht="15">
      <c r="A105" s="17">
        <v>97</v>
      </c>
      <c r="B105" s="39">
        <v>158</v>
      </c>
      <c r="C105" s="22" t="s">
        <v>50</v>
      </c>
      <c r="D105" s="63">
        <v>83</v>
      </c>
    </row>
    <row r="106" spans="1:4" s="10" customFormat="1" ht="15">
      <c r="A106" s="17">
        <v>98</v>
      </c>
      <c r="B106" s="22">
        <v>71</v>
      </c>
      <c r="C106" s="30" t="s">
        <v>16</v>
      </c>
      <c r="D106" s="63">
        <v>81</v>
      </c>
    </row>
    <row r="107" spans="1:4" s="10" customFormat="1" ht="15">
      <c r="A107" s="17">
        <v>99</v>
      </c>
      <c r="B107" s="92">
        <v>279</v>
      </c>
      <c r="C107" s="93" t="s">
        <v>206</v>
      </c>
      <c r="D107" s="63">
        <v>81</v>
      </c>
    </row>
    <row r="108" spans="1:4" s="10" customFormat="1" ht="15">
      <c r="A108" s="17">
        <v>100</v>
      </c>
      <c r="B108" s="22">
        <v>239</v>
      </c>
      <c r="C108" s="8" t="s">
        <v>394</v>
      </c>
      <c r="D108" s="63">
        <v>80</v>
      </c>
    </row>
    <row r="109" spans="1:4" s="10" customFormat="1" ht="26.25">
      <c r="A109" s="17">
        <v>101</v>
      </c>
      <c r="B109" s="22">
        <v>128</v>
      </c>
      <c r="C109" s="73" t="s">
        <v>391</v>
      </c>
      <c r="D109" s="63">
        <v>77</v>
      </c>
    </row>
    <row r="110" spans="1:4" s="10" customFormat="1" ht="26.25">
      <c r="A110" s="17">
        <v>102</v>
      </c>
      <c r="B110" s="22">
        <v>73</v>
      </c>
      <c r="C110" s="31" t="s">
        <v>211</v>
      </c>
      <c r="D110" s="63">
        <v>71</v>
      </c>
    </row>
    <row r="111" spans="1:4" s="10" customFormat="1" ht="15">
      <c r="A111" s="17">
        <v>103</v>
      </c>
      <c r="B111" s="22">
        <v>191</v>
      </c>
      <c r="C111" s="18" t="s">
        <v>74</v>
      </c>
      <c r="D111" s="63">
        <v>70</v>
      </c>
    </row>
    <row r="112" spans="1:4" s="10" customFormat="1" ht="15">
      <c r="A112" s="17">
        <v>104</v>
      </c>
      <c r="B112" s="22">
        <v>267</v>
      </c>
      <c r="C112" s="31" t="s">
        <v>180</v>
      </c>
      <c r="D112" s="63">
        <v>70</v>
      </c>
    </row>
    <row r="113" spans="1:4" s="10" customFormat="1" ht="15">
      <c r="A113" s="17">
        <v>105</v>
      </c>
      <c r="B113" s="22">
        <v>238</v>
      </c>
      <c r="C113" s="8" t="s">
        <v>393</v>
      </c>
      <c r="D113" s="63">
        <v>67</v>
      </c>
    </row>
    <row r="114" spans="1:4" s="10" customFormat="1" ht="15">
      <c r="A114" s="17">
        <v>106</v>
      </c>
      <c r="B114" s="22">
        <v>265</v>
      </c>
      <c r="C114" s="31" t="s">
        <v>204</v>
      </c>
      <c r="D114" s="63">
        <v>65</v>
      </c>
    </row>
    <row r="115" spans="1:4" s="10" customFormat="1" ht="15">
      <c r="A115" s="17">
        <v>107</v>
      </c>
      <c r="B115" s="22">
        <v>13</v>
      </c>
      <c r="C115" s="22" t="s">
        <v>9</v>
      </c>
      <c r="D115" s="63">
        <v>62</v>
      </c>
    </row>
    <row r="116" spans="1:4" s="10" customFormat="1" ht="15">
      <c r="A116" s="17">
        <v>108</v>
      </c>
      <c r="B116" s="22">
        <v>252</v>
      </c>
      <c r="C116" s="8" t="s">
        <v>395</v>
      </c>
      <c r="D116" s="63">
        <v>58</v>
      </c>
    </row>
    <row r="117" spans="1:4" s="10" customFormat="1" ht="15">
      <c r="A117" s="17">
        <v>109</v>
      </c>
      <c r="B117" s="22">
        <v>87</v>
      </c>
      <c r="C117" s="30" t="s">
        <v>22</v>
      </c>
      <c r="D117" s="63">
        <v>57</v>
      </c>
    </row>
    <row r="118" spans="1:4" s="67" customFormat="1" ht="15.75">
      <c r="A118" s="33"/>
      <c r="B118" s="70"/>
      <c r="C118" s="56" t="s">
        <v>70</v>
      </c>
      <c r="D118" s="54">
        <f t="shared" ref="D118" si="0">SUM(D9:D117)</f>
        <v>17688</v>
      </c>
    </row>
    <row r="119" spans="1:4" s="24" customFormat="1">
      <c r="B119" s="49"/>
      <c r="C119" s="25"/>
    </row>
    <row r="120" spans="1:4" s="24" customFormat="1">
      <c r="B120" s="49"/>
      <c r="C120" s="25"/>
    </row>
    <row r="121" spans="1:4" s="24" customFormat="1">
      <c r="B121" s="49"/>
      <c r="C121" s="25"/>
    </row>
    <row r="122" spans="1:4" s="24" customFormat="1">
      <c r="B122" s="49"/>
      <c r="C122" s="25"/>
    </row>
  </sheetData>
  <autoFilter ref="A7:C110"/>
  <sortState ref="B9:D117">
    <sortCondition descending="1" ref="D9:D117"/>
  </sortState>
  <mergeCells count="3"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scale="81" fitToHeight="2" orientation="portrait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2:D135"/>
  <sheetViews>
    <sheetView zoomScaleNormal="100" workbookViewId="0">
      <pane ySplit="8" topLeftCell="A9" activePane="bottomLeft" state="frozen"/>
      <selection activeCell="H121" sqref="H121:H128"/>
      <selection pane="bottomLeft" activeCell="B128" sqref="B128:D134"/>
    </sheetView>
  </sheetViews>
  <sheetFormatPr defaultRowHeight="12.75"/>
  <cols>
    <col min="1" max="1" width="9.140625" style="16"/>
    <col min="2" max="2" width="9.85546875" style="51" customWidth="1"/>
    <col min="3" max="3" width="34.42578125" style="23" customWidth="1"/>
    <col min="4" max="4" width="43.5703125" style="16" customWidth="1"/>
    <col min="5" max="16384" width="9.140625" style="16"/>
  </cols>
  <sheetData>
    <row r="2" spans="1:4" s="24" customFormat="1">
      <c r="B2" s="49"/>
      <c r="C2" s="25"/>
    </row>
    <row r="3" spans="1:4" s="24" customFormat="1">
      <c r="A3" s="25"/>
      <c r="B3" s="49"/>
      <c r="C3" s="14" t="s">
        <v>133</v>
      </c>
    </row>
    <row r="4" spans="1:4" s="24" customFormat="1">
      <c r="B4" s="49"/>
      <c r="C4" s="26" t="s">
        <v>90</v>
      </c>
    </row>
    <row r="5" spans="1:4" s="24" customFormat="1">
      <c r="B5" s="49"/>
      <c r="C5" s="26"/>
    </row>
    <row r="6" spans="1:4" s="24" customFormat="1">
      <c r="B6" s="49"/>
      <c r="C6" s="21" t="s">
        <v>386</v>
      </c>
    </row>
    <row r="7" spans="1:4" s="10" customFormat="1" ht="25.5" customHeight="1">
      <c r="A7" s="123" t="s">
        <v>5</v>
      </c>
      <c r="B7" s="124" t="s">
        <v>0</v>
      </c>
      <c r="C7" s="124" t="s">
        <v>1</v>
      </c>
      <c r="D7" s="87" t="s">
        <v>91</v>
      </c>
    </row>
    <row r="8" spans="1:4" ht="38.25">
      <c r="A8" s="123"/>
      <c r="B8" s="124"/>
      <c r="C8" s="124"/>
      <c r="D8" s="37" t="s">
        <v>213</v>
      </c>
    </row>
    <row r="9" spans="1:4" ht="15">
      <c r="A9" s="17">
        <v>1</v>
      </c>
      <c r="B9" s="22">
        <v>112</v>
      </c>
      <c r="C9" s="39" t="s">
        <v>29</v>
      </c>
      <c r="D9" s="63">
        <f>611.5+628+622+630.5+604</f>
        <v>3096</v>
      </c>
    </row>
    <row r="10" spans="1:4" ht="15">
      <c r="A10" s="17">
        <v>2</v>
      </c>
      <c r="B10" s="22">
        <v>89</v>
      </c>
      <c r="C10" s="31" t="s">
        <v>121</v>
      </c>
      <c r="D10" s="63">
        <f>496+496+496+600+496+496</f>
        <v>3080</v>
      </c>
    </row>
    <row r="11" spans="1:4" ht="15">
      <c r="A11" s="17">
        <v>3</v>
      </c>
      <c r="B11" s="22">
        <v>166</v>
      </c>
      <c r="C11" s="22" t="s">
        <v>52</v>
      </c>
      <c r="D11" s="63">
        <f>540+540+540+516+540</f>
        <v>2676</v>
      </c>
    </row>
    <row r="12" spans="1:4" s="10" customFormat="1" ht="15">
      <c r="A12" s="17">
        <v>4</v>
      </c>
      <c r="B12" s="22">
        <v>37</v>
      </c>
      <c r="C12" s="30" t="s">
        <v>99</v>
      </c>
      <c r="D12" s="63">
        <f>896+896</f>
        <v>1792</v>
      </c>
    </row>
    <row r="13" spans="1:4" ht="15">
      <c r="A13" s="17">
        <v>5</v>
      </c>
      <c r="B13" s="39">
        <v>164</v>
      </c>
      <c r="C13" s="22" t="s">
        <v>51</v>
      </c>
      <c r="D13" s="63">
        <f>877+810</f>
        <v>1687</v>
      </c>
    </row>
    <row r="14" spans="1:4" ht="15">
      <c r="A14" s="17">
        <v>6</v>
      </c>
      <c r="B14" s="22">
        <v>206</v>
      </c>
      <c r="C14" s="18" t="s">
        <v>126</v>
      </c>
      <c r="D14" s="63">
        <f>412+412+412+412</f>
        <v>1648</v>
      </c>
    </row>
    <row r="15" spans="1:4" ht="15">
      <c r="A15" s="17">
        <v>7</v>
      </c>
      <c r="B15" s="22">
        <v>94</v>
      </c>
      <c r="C15" s="30" t="s">
        <v>24</v>
      </c>
      <c r="D15" s="63">
        <f>740+758</f>
        <v>1498</v>
      </c>
    </row>
    <row r="16" spans="1:4" ht="15">
      <c r="A16" s="17">
        <v>8</v>
      </c>
      <c r="B16" s="22">
        <v>6</v>
      </c>
      <c r="C16" s="30" t="s">
        <v>7</v>
      </c>
      <c r="D16" s="63">
        <f>488+476+476</f>
        <v>1440</v>
      </c>
    </row>
    <row r="17" spans="1:4" ht="15">
      <c r="A17" s="17">
        <v>9</v>
      </c>
      <c r="B17" s="22">
        <v>127</v>
      </c>
      <c r="C17" s="73" t="s">
        <v>178</v>
      </c>
      <c r="D17" s="63">
        <f>584+412+409+21</f>
        <v>1426</v>
      </c>
    </row>
    <row r="18" spans="1:4" ht="15">
      <c r="A18" s="17">
        <v>10</v>
      </c>
      <c r="B18" s="22">
        <v>74</v>
      </c>
      <c r="C18" s="30" t="s">
        <v>18</v>
      </c>
      <c r="D18" s="63">
        <f>728.5+662.5</f>
        <v>1391</v>
      </c>
    </row>
    <row r="19" spans="1:4" ht="15">
      <c r="A19" s="17">
        <v>11</v>
      </c>
      <c r="B19" s="39">
        <v>143</v>
      </c>
      <c r="C19" s="39" t="s">
        <v>128</v>
      </c>
      <c r="D19" s="63">
        <f>646+654+20</f>
        <v>1320</v>
      </c>
    </row>
    <row r="20" spans="1:4" ht="15">
      <c r="A20" s="17">
        <v>12</v>
      </c>
      <c r="B20" s="22">
        <v>189</v>
      </c>
      <c r="C20" s="19" t="s">
        <v>75</v>
      </c>
      <c r="D20" s="63">
        <f>600+688</f>
        <v>1288</v>
      </c>
    </row>
    <row r="21" spans="1:4" ht="15">
      <c r="A21" s="17">
        <v>13</v>
      </c>
      <c r="B21" s="22">
        <v>155</v>
      </c>
      <c r="C21" s="22" t="s">
        <v>48</v>
      </c>
      <c r="D21" s="63">
        <v>1248</v>
      </c>
    </row>
    <row r="22" spans="1:4" ht="15">
      <c r="A22" s="17">
        <v>14</v>
      </c>
      <c r="B22" s="22">
        <v>72</v>
      </c>
      <c r="C22" s="30" t="s">
        <v>17</v>
      </c>
      <c r="D22" s="63">
        <v>1176</v>
      </c>
    </row>
    <row r="23" spans="1:4" ht="15">
      <c r="A23" s="17">
        <v>15</v>
      </c>
      <c r="B23" s="22">
        <v>102</v>
      </c>
      <c r="C23" s="22" t="s">
        <v>96</v>
      </c>
      <c r="D23" s="63">
        <f>592+564</f>
        <v>1156</v>
      </c>
    </row>
    <row r="24" spans="1:4" ht="15">
      <c r="A24" s="17">
        <v>16</v>
      </c>
      <c r="B24" s="22">
        <v>250</v>
      </c>
      <c r="C24" s="19" t="s">
        <v>102</v>
      </c>
      <c r="D24" s="63">
        <v>1118</v>
      </c>
    </row>
    <row r="25" spans="1:4" ht="15">
      <c r="A25" s="17">
        <v>17</v>
      </c>
      <c r="B25" s="39">
        <v>142</v>
      </c>
      <c r="C25" s="39" t="s">
        <v>44</v>
      </c>
      <c r="D25" s="63">
        <f>496+599</f>
        <v>1095</v>
      </c>
    </row>
    <row r="26" spans="1:4" ht="15">
      <c r="A26" s="17">
        <v>18</v>
      </c>
      <c r="B26" s="22">
        <v>109</v>
      </c>
      <c r="C26" s="39" t="s">
        <v>129</v>
      </c>
      <c r="D26" s="63">
        <f>515+552</f>
        <v>1067</v>
      </c>
    </row>
    <row r="27" spans="1:4" ht="15">
      <c r="A27" s="17">
        <v>19</v>
      </c>
      <c r="B27" s="22">
        <v>125</v>
      </c>
      <c r="C27" s="39" t="s">
        <v>39</v>
      </c>
      <c r="D27" s="63">
        <f>1016+40.5</f>
        <v>1056.5</v>
      </c>
    </row>
    <row r="28" spans="1:4" ht="15">
      <c r="A28" s="17">
        <v>20</v>
      </c>
      <c r="B28" s="22">
        <v>115</v>
      </c>
      <c r="C28" s="39" t="s">
        <v>30</v>
      </c>
      <c r="D28" s="63">
        <v>1032</v>
      </c>
    </row>
    <row r="29" spans="1:4" ht="15">
      <c r="A29" s="17">
        <v>21</v>
      </c>
      <c r="B29" s="22">
        <v>96</v>
      </c>
      <c r="C29" s="39" t="s">
        <v>25</v>
      </c>
      <c r="D29" s="63">
        <f>476+476+24+24</f>
        <v>1000</v>
      </c>
    </row>
    <row r="30" spans="1:4" ht="26.25">
      <c r="A30" s="17">
        <v>22</v>
      </c>
      <c r="B30" s="22">
        <v>227</v>
      </c>
      <c r="C30" s="18" t="s">
        <v>85</v>
      </c>
      <c r="D30" s="63">
        <f>496+496</f>
        <v>992</v>
      </c>
    </row>
    <row r="31" spans="1:4" ht="15">
      <c r="A31" s="17">
        <v>23</v>
      </c>
      <c r="B31" s="22">
        <v>264</v>
      </c>
      <c r="C31" s="31" t="s">
        <v>131</v>
      </c>
      <c r="D31" s="63">
        <f>496+496</f>
        <v>992</v>
      </c>
    </row>
    <row r="32" spans="1:4" ht="15">
      <c r="A32" s="17">
        <v>24</v>
      </c>
      <c r="B32" s="22">
        <v>122</v>
      </c>
      <c r="C32" s="39" t="s">
        <v>36</v>
      </c>
      <c r="D32" s="63">
        <v>912</v>
      </c>
    </row>
    <row r="33" spans="1:4" ht="15">
      <c r="A33" s="17">
        <v>25</v>
      </c>
      <c r="B33" s="22">
        <v>44</v>
      </c>
      <c r="C33" s="30" t="s">
        <v>12</v>
      </c>
      <c r="D33" s="63">
        <f>524+376</f>
        <v>900</v>
      </c>
    </row>
    <row r="34" spans="1:4" ht="15">
      <c r="A34" s="17">
        <v>26</v>
      </c>
      <c r="B34" s="22">
        <v>81</v>
      </c>
      <c r="C34" s="30" t="s">
        <v>20</v>
      </c>
      <c r="D34" s="63">
        <f>484+416</f>
        <v>900</v>
      </c>
    </row>
    <row r="35" spans="1:4" ht="15">
      <c r="A35" s="17">
        <v>27</v>
      </c>
      <c r="B35" s="42">
        <v>218</v>
      </c>
      <c r="C35" s="36" t="s">
        <v>79</v>
      </c>
      <c r="D35" s="63">
        <f>344+489</f>
        <v>833</v>
      </c>
    </row>
    <row r="36" spans="1:4" ht="15">
      <c r="A36" s="17">
        <v>28</v>
      </c>
      <c r="B36" s="22">
        <v>253</v>
      </c>
      <c r="C36" s="19" t="s">
        <v>123</v>
      </c>
      <c r="D36" s="63">
        <f>833-2</f>
        <v>831</v>
      </c>
    </row>
    <row r="37" spans="1:4" s="10" customFormat="1" ht="26.25">
      <c r="A37" s="17">
        <v>29</v>
      </c>
      <c r="B37" s="22">
        <v>124</v>
      </c>
      <c r="C37" s="39" t="s">
        <v>38</v>
      </c>
      <c r="D37" s="63">
        <v>775</v>
      </c>
    </row>
    <row r="38" spans="1:4" ht="15">
      <c r="A38" s="17">
        <v>30</v>
      </c>
      <c r="B38" s="22">
        <v>236</v>
      </c>
      <c r="C38" s="19" t="s">
        <v>124</v>
      </c>
      <c r="D38" s="63">
        <v>710</v>
      </c>
    </row>
    <row r="39" spans="1:4" ht="15">
      <c r="A39" s="17">
        <v>31</v>
      </c>
      <c r="B39" s="22">
        <v>262</v>
      </c>
      <c r="C39" s="19" t="s">
        <v>115</v>
      </c>
      <c r="D39" s="63">
        <v>684.5</v>
      </c>
    </row>
    <row r="40" spans="1:4" ht="15">
      <c r="A40" s="17">
        <v>32</v>
      </c>
      <c r="B40" s="22">
        <v>82</v>
      </c>
      <c r="C40" s="30" t="s">
        <v>21</v>
      </c>
      <c r="D40" s="63">
        <f>684-15</f>
        <v>669</v>
      </c>
    </row>
    <row r="41" spans="1:4" ht="15">
      <c r="A41" s="17">
        <v>33</v>
      </c>
      <c r="B41" s="92">
        <v>283</v>
      </c>
      <c r="C41" s="93" t="s">
        <v>214</v>
      </c>
      <c r="D41" s="63">
        <v>656</v>
      </c>
    </row>
    <row r="42" spans="1:4" ht="15">
      <c r="A42" s="17">
        <v>34</v>
      </c>
      <c r="B42" s="22">
        <v>248</v>
      </c>
      <c r="C42" s="19" t="s">
        <v>100</v>
      </c>
      <c r="D42" s="63">
        <v>650</v>
      </c>
    </row>
    <row r="43" spans="1:4" ht="15">
      <c r="A43" s="17">
        <v>35</v>
      </c>
      <c r="B43" s="22">
        <v>35</v>
      </c>
      <c r="C43" s="30" t="s">
        <v>86</v>
      </c>
      <c r="D43" s="63">
        <v>646.5</v>
      </c>
    </row>
    <row r="44" spans="1:4" ht="15">
      <c r="A44" s="17">
        <v>36</v>
      </c>
      <c r="B44" s="39">
        <v>136</v>
      </c>
      <c r="C44" s="40" t="s">
        <v>40</v>
      </c>
      <c r="D44" s="63">
        <f>588+12</f>
        <v>600</v>
      </c>
    </row>
    <row r="45" spans="1:4" ht="15">
      <c r="A45" s="17">
        <v>37</v>
      </c>
      <c r="B45" s="22">
        <v>153</v>
      </c>
      <c r="C45" s="22" t="s">
        <v>132</v>
      </c>
      <c r="D45" s="63">
        <v>596.5</v>
      </c>
    </row>
    <row r="46" spans="1:4" ht="15">
      <c r="A46" s="17">
        <v>38</v>
      </c>
      <c r="B46" s="22">
        <v>208</v>
      </c>
      <c r="C46" s="30" t="s">
        <v>78</v>
      </c>
      <c r="D46" s="63">
        <v>588</v>
      </c>
    </row>
    <row r="47" spans="1:4" ht="15">
      <c r="A47" s="17">
        <v>39</v>
      </c>
      <c r="B47" s="22">
        <v>260</v>
      </c>
      <c r="C47" s="19" t="s">
        <v>116</v>
      </c>
      <c r="D47" s="63">
        <v>584</v>
      </c>
    </row>
    <row r="48" spans="1:4" ht="15">
      <c r="A48" s="17">
        <v>40</v>
      </c>
      <c r="B48" s="22">
        <v>228</v>
      </c>
      <c r="C48" s="18" t="s">
        <v>95</v>
      </c>
      <c r="D48" s="63">
        <v>564</v>
      </c>
    </row>
    <row r="49" spans="1:4" ht="15">
      <c r="A49" s="17">
        <v>41</v>
      </c>
      <c r="B49" s="22">
        <v>261</v>
      </c>
      <c r="C49" s="19" t="s">
        <v>113</v>
      </c>
      <c r="D49" s="63">
        <f>560+2</f>
        <v>562</v>
      </c>
    </row>
    <row r="50" spans="1:4" ht="15">
      <c r="A50" s="17">
        <v>42</v>
      </c>
      <c r="B50" s="22">
        <v>67</v>
      </c>
      <c r="C50" s="30" t="s">
        <v>14</v>
      </c>
      <c r="D50" s="63">
        <v>560</v>
      </c>
    </row>
    <row r="51" spans="1:4" ht="15">
      <c r="A51" s="17">
        <v>43</v>
      </c>
      <c r="B51" s="22">
        <v>157</v>
      </c>
      <c r="C51" s="22" t="s">
        <v>49</v>
      </c>
      <c r="D51" s="63">
        <v>560</v>
      </c>
    </row>
    <row r="52" spans="1:4" ht="15">
      <c r="A52" s="17">
        <v>44</v>
      </c>
      <c r="B52" s="92">
        <v>284</v>
      </c>
      <c r="C52" s="92" t="s">
        <v>208</v>
      </c>
      <c r="D52" s="63">
        <v>560</v>
      </c>
    </row>
    <row r="53" spans="1:4" ht="15">
      <c r="A53" s="17">
        <v>45</v>
      </c>
      <c r="B53" s="22">
        <v>274</v>
      </c>
      <c r="C53" s="38" t="s">
        <v>184</v>
      </c>
      <c r="D53" s="63">
        <v>534</v>
      </c>
    </row>
    <row r="54" spans="1:4" ht="15">
      <c r="A54" s="17">
        <v>46</v>
      </c>
      <c r="B54" s="22">
        <v>123</v>
      </c>
      <c r="C54" s="39" t="s">
        <v>37</v>
      </c>
      <c r="D54" s="63">
        <v>529</v>
      </c>
    </row>
    <row r="55" spans="1:4" ht="15">
      <c r="A55" s="17">
        <v>47</v>
      </c>
      <c r="B55" s="39">
        <v>158</v>
      </c>
      <c r="C55" s="22" t="s">
        <v>50</v>
      </c>
      <c r="D55" s="63">
        <v>524</v>
      </c>
    </row>
    <row r="56" spans="1:4" ht="15">
      <c r="A56" s="17">
        <v>48</v>
      </c>
      <c r="B56" s="22">
        <v>237</v>
      </c>
      <c r="C56" s="19" t="s">
        <v>94</v>
      </c>
      <c r="D56" s="63">
        <v>524</v>
      </c>
    </row>
    <row r="57" spans="1:4" ht="15">
      <c r="A57" s="17">
        <v>49</v>
      </c>
      <c r="B57" s="39">
        <v>234</v>
      </c>
      <c r="C57" s="22" t="s">
        <v>125</v>
      </c>
      <c r="D57" s="63">
        <v>520</v>
      </c>
    </row>
    <row r="58" spans="1:4" ht="15">
      <c r="A58" s="17">
        <v>50</v>
      </c>
      <c r="B58" s="22">
        <v>191</v>
      </c>
      <c r="C58" s="18" t="s">
        <v>74</v>
      </c>
      <c r="D58" s="63">
        <v>500</v>
      </c>
    </row>
    <row r="59" spans="1:4" ht="15">
      <c r="A59" s="17">
        <v>51</v>
      </c>
      <c r="B59" s="22">
        <v>170</v>
      </c>
      <c r="C59" s="22" t="s">
        <v>127</v>
      </c>
      <c r="D59" s="63">
        <v>488</v>
      </c>
    </row>
    <row r="60" spans="1:4" ht="15">
      <c r="A60" s="17">
        <v>52</v>
      </c>
      <c r="B60" s="22">
        <v>186</v>
      </c>
      <c r="C60" s="18" t="s">
        <v>92</v>
      </c>
      <c r="D60" s="63">
        <v>484</v>
      </c>
    </row>
    <row r="61" spans="1:4" s="10" customFormat="1" ht="15">
      <c r="A61" s="17">
        <v>53</v>
      </c>
      <c r="B61" s="22">
        <v>118</v>
      </c>
      <c r="C61" s="39" t="s">
        <v>33</v>
      </c>
      <c r="D61" s="63">
        <v>480</v>
      </c>
    </row>
    <row r="62" spans="1:4" ht="15">
      <c r="A62" s="17">
        <v>54</v>
      </c>
      <c r="B62" s="22">
        <v>273</v>
      </c>
      <c r="C62" s="31" t="s">
        <v>183</v>
      </c>
      <c r="D62" s="63">
        <v>464</v>
      </c>
    </row>
    <row r="63" spans="1:4" ht="15">
      <c r="A63" s="17">
        <v>55</v>
      </c>
      <c r="B63" s="22">
        <v>121</v>
      </c>
      <c r="C63" s="39" t="s">
        <v>35</v>
      </c>
      <c r="D63" s="63">
        <v>460</v>
      </c>
    </row>
    <row r="64" spans="1:4" ht="15">
      <c r="A64" s="17">
        <v>56</v>
      </c>
      <c r="B64" s="92">
        <v>278</v>
      </c>
      <c r="C64" s="93" t="s">
        <v>205</v>
      </c>
      <c r="D64" s="63">
        <v>456</v>
      </c>
    </row>
    <row r="65" spans="1:4" ht="15">
      <c r="A65" s="17">
        <v>57</v>
      </c>
      <c r="B65" s="22">
        <v>271</v>
      </c>
      <c r="C65" s="31" t="s">
        <v>188</v>
      </c>
      <c r="D65" s="63">
        <v>442.5</v>
      </c>
    </row>
    <row r="66" spans="1:4" ht="15">
      <c r="A66" s="17">
        <v>58</v>
      </c>
      <c r="B66" s="22">
        <v>238</v>
      </c>
      <c r="C66" s="8" t="s">
        <v>393</v>
      </c>
      <c r="D66" s="63">
        <v>439</v>
      </c>
    </row>
    <row r="67" spans="1:4" ht="15">
      <c r="A67" s="17">
        <v>59</v>
      </c>
      <c r="B67" s="22">
        <v>27</v>
      </c>
      <c r="C67" s="30" t="s">
        <v>10</v>
      </c>
      <c r="D67" s="63">
        <v>436</v>
      </c>
    </row>
    <row r="68" spans="1:4" ht="15">
      <c r="A68" s="17">
        <v>60</v>
      </c>
      <c r="B68" s="22">
        <v>217</v>
      </c>
      <c r="C68" s="18" t="s">
        <v>80</v>
      </c>
      <c r="D68" s="63">
        <v>436</v>
      </c>
    </row>
    <row r="69" spans="1:4" ht="26.25">
      <c r="A69" s="17">
        <v>61</v>
      </c>
      <c r="B69" s="22">
        <v>229</v>
      </c>
      <c r="C69" s="38" t="s">
        <v>392</v>
      </c>
      <c r="D69" s="63">
        <v>436</v>
      </c>
    </row>
    <row r="70" spans="1:4" ht="15">
      <c r="A70" s="17">
        <v>62</v>
      </c>
      <c r="B70" s="22">
        <v>116</v>
      </c>
      <c r="C70" s="39" t="s">
        <v>31</v>
      </c>
      <c r="D70" s="63">
        <v>430</v>
      </c>
    </row>
    <row r="71" spans="1:4" ht="15">
      <c r="A71" s="17">
        <v>63</v>
      </c>
      <c r="B71" s="22">
        <v>167</v>
      </c>
      <c r="C71" s="22" t="s">
        <v>53</v>
      </c>
      <c r="D71" s="63">
        <v>424</v>
      </c>
    </row>
    <row r="72" spans="1:4" ht="15">
      <c r="A72" s="17">
        <v>64</v>
      </c>
      <c r="B72" s="22">
        <v>151</v>
      </c>
      <c r="C72" s="22" t="s">
        <v>46</v>
      </c>
      <c r="D72" s="63">
        <v>408</v>
      </c>
    </row>
    <row r="73" spans="1:4" ht="15">
      <c r="A73" s="17">
        <v>65</v>
      </c>
      <c r="B73" s="39">
        <v>154</v>
      </c>
      <c r="C73" s="22" t="s">
        <v>47</v>
      </c>
      <c r="D73" s="63">
        <v>400</v>
      </c>
    </row>
    <row r="74" spans="1:4" ht="15">
      <c r="A74" s="17">
        <v>66</v>
      </c>
      <c r="B74" s="22">
        <v>46</v>
      </c>
      <c r="C74" s="30" t="s">
        <v>13</v>
      </c>
      <c r="D74" s="63">
        <v>396</v>
      </c>
    </row>
    <row r="75" spans="1:4" ht="15">
      <c r="A75" s="17">
        <v>67</v>
      </c>
      <c r="B75" s="22">
        <v>117</v>
      </c>
      <c r="C75" s="39" t="s">
        <v>32</v>
      </c>
      <c r="D75" s="63">
        <v>396</v>
      </c>
    </row>
    <row r="76" spans="1:4" ht="15">
      <c r="A76" s="17">
        <v>68</v>
      </c>
      <c r="B76" s="22">
        <v>266</v>
      </c>
      <c r="C76" s="31" t="s">
        <v>179</v>
      </c>
      <c r="D76" s="63">
        <v>394</v>
      </c>
    </row>
    <row r="77" spans="1:4" ht="15">
      <c r="A77" s="17">
        <v>69</v>
      </c>
      <c r="B77" s="22">
        <v>7</v>
      </c>
      <c r="C77" s="39" t="s">
        <v>8</v>
      </c>
      <c r="D77" s="63">
        <v>392</v>
      </c>
    </row>
    <row r="78" spans="1:4" ht="15">
      <c r="A78" s="17">
        <v>70</v>
      </c>
      <c r="B78" s="22">
        <v>268</v>
      </c>
      <c r="C78" s="31" t="s">
        <v>185</v>
      </c>
      <c r="D78" s="63">
        <v>392</v>
      </c>
    </row>
    <row r="79" spans="1:4" ht="15">
      <c r="A79" s="17">
        <v>71</v>
      </c>
      <c r="B79" s="22">
        <v>267</v>
      </c>
      <c r="C79" s="31" t="s">
        <v>180</v>
      </c>
      <c r="D79" s="63">
        <v>385.5</v>
      </c>
    </row>
    <row r="80" spans="1:4" ht="15">
      <c r="A80" s="17">
        <v>72</v>
      </c>
      <c r="B80" s="22">
        <v>68</v>
      </c>
      <c r="C80" s="30" t="s">
        <v>15</v>
      </c>
      <c r="D80" s="63">
        <f>248+132</f>
        <v>380</v>
      </c>
    </row>
    <row r="81" spans="1:4" ht="15">
      <c r="A81" s="17">
        <v>73</v>
      </c>
      <c r="B81" s="39">
        <v>141</v>
      </c>
      <c r="C81" s="41" t="s">
        <v>43</v>
      </c>
      <c r="D81" s="63">
        <v>380</v>
      </c>
    </row>
    <row r="82" spans="1:4" ht="15">
      <c r="A82" s="17">
        <v>74</v>
      </c>
      <c r="B82" s="22">
        <v>119</v>
      </c>
      <c r="C82" s="39" t="s">
        <v>34</v>
      </c>
      <c r="D82" s="63">
        <v>372</v>
      </c>
    </row>
    <row r="83" spans="1:4" ht="15">
      <c r="A83" s="17">
        <v>75</v>
      </c>
      <c r="B83" s="22">
        <v>265</v>
      </c>
      <c r="C83" s="31" t="s">
        <v>204</v>
      </c>
      <c r="D83" s="63">
        <v>369</v>
      </c>
    </row>
    <row r="84" spans="1:4" ht="15">
      <c r="A84" s="17">
        <v>76</v>
      </c>
      <c r="B84" s="22">
        <v>110</v>
      </c>
      <c r="C84" s="39" t="s">
        <v>28</v>
      </c>
      <c r="D84" s="63">
        <v>368</v>
      </c>
    </row>
    <row r="85" spans="1:4" ht="15">
      <c r="A85" s="17">
        <v>77</v>
      </c>
      <c r="B85" s="39">
        <v>139</v>
      </c>
      <c r="C85" s="39" t="s">
        <v>42</v>
      </c>
      <c r="D85" s="63">
        <v>368</v>
      </c>
    </row>
    <row r="86" spans="1:4" ht="15">
      <c r="A86" s="17">
        <v>78</v>
      </c>
      <c r="B86" s="22">
        <v>272</v>
      </c>
      <c r="C86" s="116" t="s">
        <v>181</v>
      </c>
      <c r="D86" s="63">
        <v>368</v>
      </c>
    </row>
    <row r="87" spans="1:4" s="10" customFormat="1" ht="15">
      <c r="A87" s="17">
        <v>79</v>
      </c>
      <c r="B87" s="22">
        <v>213</v>
      </c>
      <c r="C87" s="18" t="s">
        <v>82</v>
      </c>
      <c r="D87" s="63">
        <v>364</v>
      </c>
    </row>
    <row r="88" spans="1:4" s="10" customFormat="1" ht="15">
      <c r="A88" s="17">
        <v>80</v>
      </c>
      <c r="B88" s="22">
        <v>76</v>
      </c>
      <c r="C88" s="30" t="s">
        <v>19</v>
      </c>
      <c r="D88" s="63">
        <v>363</v>
      </c>
    </row>
    <row r="89" spans="1:4" s="10" customFormat="1" ht="15">
      <c r="A89" s="17">
        <v>81</v>
      </c>
      <c r="B89" s="22">
        <v>211</v>
      </c>
      <c r="C89" s="18" t="s">
        <v>81</v>
      </c>
      <c r="D89" s="63">
        <v>360</v>
      </c>
    </row>
    <row r="90" spans="1:4" s="10" customFormat="1" ht="15">
      <c r="A90" s="17">
        <v>82</v>
      </c>
      <c r="B90" s="22">
        <v>98</v>
      </c>
      <c r="C90" s="39" t="s">
        <v>105</v>
      </c>
      <c r="D90" s="63">
        <v>348</v>
      </c>
    </row>
    <row r="91" spans="1:4" s="10" customFormat="1" ht="15">
      <c r="A91" s="17">
        <v>83</v>
      </c>
      <c r="B91" s="39">
        <v>138</v>
      </c>
      <c r="C91" s="39" t="s">
        <v>41</v>
      </c>
      <c r="D91" s="63">
        <v>344</v>
      </c>
    </row>
    <row r="92" spans="1:4" s="10" customFormat="1" ht="15">
      <c r="A92" s="17">
        <v>84</v>
      </c>
      <c r="B92" s="92">
        <v>282</v>
      </c>
      <c r="C92" s="93" t="s">
        <v>209</v>
      </c>
      <c r="D92" s="63">
        <v>342</v>
      </c>
    </row>
    <row r="93" spans="1:4" s="10" customFormat="1" ht="15">
      <c r="A93" s="17">
        <v>85</v>
      </c>
      <c r="B93" s="22">
        <v>182</v>
      </c>
      <c r="C93" s="19" t="s">
        <v>71</v>
      </c>
      <c r="D93" s="63">
        <v>335</v>
      </c>
    </row>
    <row r="94" spans="1:4" s="10" customFormat="1" ht="15">
      <c r="A94" s="17">
        <v>86</v>
      </c>
      <c r="B94" s="39">
        <v>147</v>
      </c>
      <c r="C94" s="39" t="s">
        <v>45</v>
      </c>
      <c r="D94" s="63">
        <v>332</v>
      </c>
    </row>
    <row r="95" spans="1:4" s="10" customFormat="1" ht="15">
      <c r="A95" s="17">
        <v>87</v>
      </c>
      <c r="B95" s="22">
        <v>207</v>
      </c>
      <c r="C95" s="39" t="s">
        <v>77</v>
      </c>
      <c r="D95" s="63">
        <f>332</f>
        <v>332</v>
      </c>
    </row>
    <row r="96" spans="1:4" s="10" customFormat="1" ht="15">
      <c r="A96" s="17">
        <v>88</v>
      </c>
      <c r="B96" s="22">
        <v>86</v>
      </c>
      <c r="C96" s="31" t="s">
        <v>130</v>
      </c>
      <c r="D96" s="63">
        <v>324.5</v>
      </c>
    </row>
    <row r="97" spans="1:4" s="10" customFormat="1" ht="15">
      <c r="A97" s="17">
        <v>89</v>
      </c>
      <c r="B97" s="92">
        <v>279</v>
      </c>
      <c r="C97" s="93" t="s">
        <v>206</v>
      </c>
      <c r="D97" s="63">
        <v>324</v>
      </c>
    </row>
    <row r="98" spans="1:4" s="10" customFormat="1" ht="15">
      <c r="A98" s="17">
        <v>90</v>
      </c>
      <c r="B98" s="22">
        <v>13</v>
      </c>
      <c r="C98" s="22" t="s">
        <v>9</v>
      </c>
      <c r="D98" s="63">
        <v>320</v>
      </c>
    </row>
    <row r="99" spans="1:4" s="10" customFormat="1" ht="15">
      <c r="A99" s="17">
        <v>91</v>
      </c>
      <c r="B99" s="22">
        <v>101</v>
      </c>
      <c r="C99" s="39" t="s">
        <v>27</v>
      </c>
      <c r="D99" s="63">
        <v>320</v>
      </c>
    </row>
    <row r="100" spans="1:4" s="10" customFormat="1" ht="15">
      <c r="A100" s="17">
        <v>92</v>
      </c>
      <c r="B100" s="22">
        <v>180</v>
      </c>
      <c r="C100" s="19" t="s">
        <v>72</v>
      </c>
      <c r="D100" s="63">
        <v>320</v>
      </c>
    </row>
    <row r="101" spans="1:4" s="10" customFormat="1" ht="15">
      <c r="A101" s="17">
        <v>93</v>
      </c>
      <c r="B101" s="39">
        <v>132</v>
      </c>
      <c r="C101" s="39" t="s">
        <v>83</v>
      </c>
      <c r="D101" s="63">
        <v>319</v>
      </c>
    </row>
    <row r="102" spans="1:4" s="10" customFormat="1" ht="26.25">
      <c r="A102" s="17">
        <v>94</v>
      </c>
      <c r="B102" s="22">
        <v>73</v>
      </c>
      <c r="C102" s="31" t="s">
        <v>211</v>
      </c>
      <c r="D102" s="63">
        <v>312</v>
      </c>
    </row>
    <row r="103" spans="1:4" s="10" customFormat="1" ht="15">
      <c r="A103" s="17">
        <v>95</v>
      </c>
      <c r="B103" s="22">
        <v>99</v>
      </c>
      <c r="C103" s="39" t="s">
        <v>26</v>
      </c>
      <c r="D103" s="63">
        <v>295</v>
      </c>
    </row>
    <row r="104" spans="1:4" s="10" customFormat="1" ht="15">
      <c r="A104" s="17">
        <v>96</v>
      </c>
      <c r="B104" s="22">
        <v>32</v>
      </c>
      <c r="C104" s="30" t="s">
        <v>11</v>
      </c>
      <c r="D104" s="63">
        <v>293</v>
      </c>
    </row>
    <row r="105" spans="1:4" s="10" customFormat="1" ht="15">
      <c r="A105" s="17">
        <v>97</v>
      </c>
      <c r="B105" s="22">
        <v>244</v>
      </c>
      <c r="C105" s="19" t="s">
        <v>104</v>
      </c>
      <c r="D105" s="63">
        <v>290</v>
      </c>
    </row>
    <row r="106" spans="1:4" s="10" customFormat="1" ht="15">
      <c r="A106" s="17">
        <v>98</v>
      </c>
      <c r="B106" s="92">
        <v>280</v>
      </c>
      <c r="C106" s="93" t="s">
        <v>207</v>
      </c>
      <c r="D106" s="63">
        <v>272</v>
      </c>
    </row>
    <row r="107" spans="1:4" s="10" customFormat="1" ht="15">
      <c r="A107" s="17">
        <v>99</v>
      </c>
      <c r="B107" s="22">
        <v>252</v>
      </c>
      <c r="C107" s="8" t="s">
        <v>395</v>
      </c>
      <c r="D107" s="63">
        <v>260</v>
      </c>
    </row>
    <row r="108" spans="1:4" s="10" customFormat="1" ht="15">
      <c r="A108" s="17">
        <v>100</v>
      </c>
      <c r="B108" s="22">
        <v>87</v>
      </c>
      <c r="C108" s="30" t="s">
        <v>22</v>
      </c>
      <c r="D108" s="63">
        <v>256</v>
      </c>
    </row>
    <row r="109" spans="1:4" s="10" customFormat="1" ht="15">
      <c r="A109" s="17">
        <v>101</v>
      </c>
      <c r="B109" s="74">
        <v>194</v>
      </c>
      <c r="C109" s="74" t="s">
        <v>200</v>
      </c>
      <c r="D109" s="63">
        <v>244</v>
      </c>
    </row>
    <row r="110" spans="1:4" s="10" customFormat="1" ht="15">
      <c r="A110" s="17">
        <v>102</v>
      </c>
      <c r="B110" s="22">
        <v>90</v>
      </c>
      <c r="C110" s="30" t="s">
        <v>23</v>
      </c>
      <c r="D110" s="63">
        <v>241.5</v>
      </c>
    </row>
    <row r="111" spans="1:4" s="10" customFormat="1" ht="26.25">
      <c r="A111" s="17">
        <v>103</v>
      </c>
      <c r="B111" s="22">
        <v>128</v>
      </c>
      <c r="C111" s="73" t="s">
        <v>391</v>
      </c>
      <c r="D111" s="63">
        <v>232</v>
      </c>
    </row>
    <row r="112" spans="1:4" s="10" customFormat="1" ht="15">
      <c r="A112" s="17">
        <v>104</v>
      </c>
      <c r="B112" s="22">
        <v>270</v>
      </c>
      <c r="C112" s="31" t="s">
        <v>186</v>
      </c>
      <c r="D112" s="63">
        <v>232</v>
      </c>
    </row>
    <row r="113" spans="1:4" s="10" customFormat="1" ht="15">
      <c r="A113" s="17">
        <v>105</v>
      </c>
      <c r="B113" s="22">
        <v>2</v>
      </c>
      <c r="C113" s="30" t="s">
        <v>6</v>
      </c>
      <c r="D113" s="63">
        <v>228</v>
      </c>
    </row>
    <row r="114" spans="1:4" s="10" customFormat="1" ht="15">
      <c r="A114" s="17">
        <v>106</v>
      </c>
      <c r="B114" s="22">
        <v>239</v>
      </c>
      <c r="C114" s="8" t="s">
        <v>394</v>
      </c>
      <c r="D114" s="63">
        <v>208</v>
      </c>
    </row>
    <row r="115" spans="1:4" s="10" customFormat="1" ht="15">
      <c r="A115" s="17">
        <v>107</v>
      </c>
      <c r="B115" s="22">
        <v>71</v>
      </c>
      <c r="C115" s="30" t="s">
        <v>16</v>
      </c>
      <c r="D115" s="63">
        <v>72</v>
      </c>
    </row>
    <row r="116" spans="1:4" s="10" customFormat="1" ht="15">
      <c r="A116" s="17">
        <v>108</v>
      </c>
      <c r="B116" s="22">
        <v>263</v>
      </c>
      <c r="C116" s="19" t="s">
        <v>122</v>
      </c>
      <c r="D116" s="63">
        <v>0</v>
      </c>
    </row>
    <row r="117" spans="1:4" s="10" customFormat="1" ht="15">
      <c r="A117" s="17">
        <v>109</v>
      </c>
      <c r="B117" s="22">
        <v>269</v>
      </c>
      <c r="C117" s="31" t="s">
        <v>187</v>
      </c>
      <c r="D117" s="63">
        <v>0</v>
      </c>
    </row>
    <row r="118" spans="1:4" s="67" customFormat="1" ht="15.75">
      <c r="A118" s="33"/>
      <c r="B118" s="70"/>
      <c r="C118" s="56" t="s">
        <v>70</v>
      </c>
      <c r="D118" s="54">
        <f t="shared" ref="D118" si="0">SUM(D9:D117)</f>
        <v>71874</v>
      </c>
    </row>
    <row r="119" spans="1:4" s="24" customFormat="1">
      <c r="B119" s="49"/>
      <c r="C119" s="25"/>
    </row>
    <row r="120" spans="1:4" s="24" customFormat="1">
      <c r="B120" s="49"/>
      <c r="C120" s="25"/>
    </row>
    <row r="121" spans="1:4" s="24" customFormat="1">
      <c r="B121" s="49"/>
      <c r="C121" s="25"/>
    </row>
    <row r="122" spans="1:4" s="24" customFormat="1">
      <c r="B122" s="49"/>
      <c r="C122" s="25"/>
    </row>
    <row r="123" spans="1:4" s="24" customFormat="1">
      <c r="B123" s="50"/>
      <c r="C123" s="14" t="s">
        <v>90</v>
      </c>
    </row>
    <row r="124" spans="1:4" s="24" customFormat="1">
      <c r="B124" s="49"/>
      <c r="C124" s="14" t="s">
        <v>76</v>
      </c>
    </row>
    <row r="125" spans="1:4" s="24" customFormat="1">
      <c r="B125" s="49"/>
      <c r="C125" s="25"/>
    </row>
    <row r="126" spans="1:4" s="10" customFormat="1" ht="25.5" customHeight="1">
      <c r="A126" s="123" t="s">
        <v>5</v>
      </c>
      <c r="B126" s="124" t="s">
        <v>0</v>
      </c>
      <c r="C126" s="124" t="s">
        <v>1</v>
      </c>
      <c r="D126" s="28" t="s">
        <v>91</v>
      </c>
    </row>
    <row r="127" spans="1:4" ht="38.25">
      <c r="A127" s="123"/>
      <c r="B127" s="124"/>
      <c r="C127" s="124"/>
      <c r="D127" s="37" t="s">
        <v>213</v>
      </c>
    </row>
    <row r="128" spans="1:4" ht="25.5" customHeight="1">
      <c r="A128" s="97">
        <v>1</v>
      </c>
      <c r="B128" s="74">
        <v>251</v>
      </c>
      <c r="C128" s="31" t="s">
        <v>190</v>
      </c>
      <c r="D128" s="95">
        <v>12</v>
      </c>
    </row>
    <row r="129" spans="1:4" ht="15">
      <c r="A129" s="77">
        <v>2</v>
      </c>
      <c r="B129" s="74">
        <v>275</v>
      </c>
      <c r="C129" s="31" t="s">
        <v>182</v>
      </c>
      <c r="D129" s="95">
        <v>12</v>
      </c>
    </row>
    <row r="130" spans="1:4" ht="25.5">
      <c r="A130" s="97">
        <v>3</v>
      </c>
      <c r="B130" s="74">
        <v>287</v>
      </c>
      <c r="C130" s="79" t="s">
        <v>390</v>
      </c>
      <c r="D130" s="95">
        <v>0</v>
      </c>
    </row>
    <row r="131" spans="1:4">
      <c r="A131" s="77">
        <v>4</v>
      </c>
      <c r="B131" s="74">
        <v>62</v>
      </c>
      <c r="C131" s="74" t="s">
        <v>210</v>
      </c>
      <c r="D131" s="76"/>
    </row>
    <row r="132" spans="1:4" ht="15">
      <c r="A132" s="97">
        <v>5</v>
      </c>
      <c r="B132" s="74">
        <v>114</v>
      </c>
      <c r="C132" s="74" t="s">
        <v>98</v>
      </c>
      <c r="D132" s="96"/>
    </row>
    <row r="133" spans="1:4" ht="15">
      <c r="A133" s="77">
        <v>6</v>
      </c>
      <c r="B133" s="74">
        <v>219</v>
      </c>
      <c r="C133" s="74" t="s">
        <v>189</v>
      </c>
      <c r="D133" s="95"/>
    </row>
    <row r="134" spans="1:4" ht="15">
      <c r="A134" s="97">
        <v>7</v>
      </c>
      <c r="B134" s="74">
        <v>285</v>
      </c>
      <c r="C134" s="31" t="s">
        <v>203</v>
      </c>
      <c r="D134" s="95"/>
    </row>
    <row r="135" spans="1:4" s="64" customFormat="1" ht="15.75">
      <c r="A135" s="84"/>
      <c r="B135" s="85"/>
      <c r="C135" s="85" t="s">
        <v>70</v>
      </c>
      <c r="D135" s="54">
        <f>SUM(D128:D133)</f>
        <v>24</v>
      </c>
    </row>
  </sheetData>
  <sortState ref="B128:D134">
    <sortCondition descending="1" ref="D128:D134"/>
  </sortState>
  <mergeCells count="6">
    <mergeCell ref="A126:A127"/>
    <mergeCell ref="B126:B127"/>
    <mergeCell ref="C126:C127"/>
    <mergeCell ref="A7:A8"/>
    <mergeCell ref="B7:B8"/>
    <mergeCell ref="C7:C8"/>
  </mergeCells>
  <printOptions horizontalCentered="1"/>
  <pageMargins left="0" right="0" top="0.196850393700787" bottom="0.59055118110236204" header="0.118110236220472" footer="0.118110236220472"/>
  <pageSetup paperSize="9" scale="81" fitToHeight="2" orientation="portrait" horizontalDpi="300" verticalDpi="300" r:id="rId1"/>
  <headerFooter alignWithMargins="0">
    <oddFooter>&amp;LSef Birou C.S.P.,
Biolog Iuliana GRIGORE&amp;RSef Birou D.S.P.,
Ec.Adriana COSOREANU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71"/>
  <sheetViews>
    <sheetView zoomScaleNormal="100" workbookViewId="0">
      <pane ySplit="7" topLeftCell="A20" activePane="bottomLeft" state="frozen"/>
      <selection activeCell="H121" sqref="H121:H128"/>
      <selection pane="bottomLeft" activeCell="A8" sqref="A8:A67"/>
    </sheetView>
  </sheetViews>
  <sheetFormatPr defaultRowHeight="12.75"/>
  <cols>
    <col min="1" max="1" width="9.140625" style="5"/>
    <col min="2" max="2" width="9.85546875" style="80" customWidth="1"/>
    <col min="3" max="3" width="36.28515625" style="9" customWidth="1"/>
    <col min="4" max="4" width="14" style="5" customWidth="1"/>
    <col min="5" max="5" width="12.28515625" style="5" customWidth="1"/>
    <col min="6" max="6" width="12.7109375" style="5" customWidth="1"/>
    <col min="7" max="7" width="14" style="5" customWidth="1"/>
    <col min="8" max="16" width="9.140625" style="1"/>
    <col min="17" max="16384" width="9.140625" style="5"/>
  </cols>
  <sheetData>
    <row r="2" spans="1:16">
      <c r="C2" s="14"/>
    </row>
    <row r="3" spans="1:16" ht="15.75">
      <c r="A3" s="9"/>
      <c r="B3" s="81"/>
      <c r="C3" s="58" t="s">
        <v>120</v>
      </c>
    </row>
    <row r="4" spans="1:16" ht="15.75">
      <c r="A4" s="1"/>
      <c r="B4" s="81"/>
      <c r="C4" s="59" t="s">
        <v>90</v>
      </c>
      <c r="E4" s="64"/>
    </row>
    <row r="5" spans="1:16" s="1" customFormat="1">
      <c r="B5" s="82"/>
      <c r="C5" s="21"/>
      <c r="E5" s="21"/>
    </row>
    <row r="6" spans="1:16" ht="12.75" customHeight="1">
      <c r="A6" s="125" t="s">
        <v>54</v>
      </c>
      <c r="B6" s="124" t="s">
        <v>55</v>
      </c>
      <c r="C6" s="126" t="s">
        <v>56</v>
      </c>
      <c r="D6" s="122" t="s">
        <v>110</v>
      </c>
      <c r="E6" s="127"/>
      <c r="F6" s="127"/>
      <c r="G6" s="127"/>
    </row>
    <row r="7" spans="1:16" s="16" customFormat="1" ht="38.25">
      <c r="A7" s="125"/>
      <c r="B7" s="124"/>
      <c r="C7" s="126"/>
      <c r="D7" s="29" t="s">
        <v>57</v>
      </c>
      <c r="E7" s="29" t="s">
        <v>58</v>
      </c>
      <c r="F7" s="29" t="s">
        <v>59</v>
      </c>
      <c r="G7" s="112" t="s">
        <v>70</v>
      </c>
      <c r="H7" s="24"/>
      <c r="I7" s="24"/>
      <c r="J7" s="24"/>
      <c r="K7" s="24"/>
      <c r="L7" s="24"/>
      <c r="M7" s="24"/>
      <c r="N7" s="24"/>
      <c r="O7" s="24"/>
      <c r="P7" s="24"/>
    </row>
    <row r="8" spans="1:16" s="16" customFormat="1" ht="15.75">
      <c r="A8" s="17">
        <v>1</v>
      </c>
      <c r="B8" s="74">
        <v>115</v>
      </c>
      <c r="C8" s="35" t="s">
        <v>30</v>
      </c>
      <c r="D8" s="113">
        <f>2296.5+171.5</f>
        <v>2468</v>
      </c>
      <c r="E8" s="113">
        <v>675</v>
      </c>
      <c r="F8" s="113">
        <f>65+42+42+42</f>
        <v>191</v>
      </c>
      <c r="G8" s="114">
        <f t="shared" ref="G8:G39" si="0">D8+E8+F8</f>
        <v>3334</v>
      </c>
      <c r="H8" s="24"/>
      <c r="I8" s="24"/>
      <c r="J8" s="24"/>
      <c r="K8" s="24"/>
      <c r="L8" s="24"/>
      <c r="M8" s="24"/>
      <c r="N8" s="24"/>
      <c r="O8" s="24"/>
      <c r="P8" s="24"/>
    </row>
    <row r="9" spans="1:16" s="16" customFormat="1" ht="15.75">
      <c r="A9" s="17">
        <v>2</v>
      </c>
      <c r="B9" s="74">
        <v>112</v>
      </c>
      <c r="C9" s="35" t="s">
        <v>29</v>
      </c>
      <c r="D9" s="113">
        <v>2142</v>
      </c>
      <c r="E9" s="113">
        <v>650.33000000000004</v>
      </c>
      <c r="F9" s="113">
        <f>65+42+42+42+42</f>
        <v>233</v>
      </c>
      <c r="G9" s="114">
        <f t="shared" si="0"/>
        <v>3025.33</v>
      </c>
      <c r="H9" s="24"/>
      <c r="I9" s="24"/>
      <c r="J9" s="24"/>
      <c r="K9" s="24"/>
      <c r="L9" s="24"/>
      <c r="M9" s="24"/>
      <c r="N9" s="24"/>
      <c r="O9" s="24"/>
      <c r="P9" s="24"/>
    </row>
    <row r="10" spans="1:16" s="16" customFormat="1" ht="15.75">
      <c r="A10" s="17">
        <v>3</v>
      </c>
      <c r="B10" s="74">
        <v>72</v>
      </c>
      <c r="C10" s="34" t="s">
        <v>17</v>
      </c>
      <c r="D10" s="113">
        <f>960.5+442</f>
        <v>1402.5</v>
      </c>
      <c r="E10" s="113">
        <v>575.16999999999996</v>
      </c>
      <c r="F10" s="113">
        <f>35+12+12+12+12</f>
        <v>83</v>
      </c>
      <c r="G10" s="114">
        <f t="shared" si="0"/>
        <v>2060.67</v>
      </c>
      <c r="H10" s="24"/>
      <c r="I10" s="24"/>
      <c r="J10" s="24"/>
      <c r="K10" s="24"/>
      <c r="L10" s="24"/>
      <c r="M10" s="24"/>
      <c r="N10" s="24"/>
      <c r="O10" s="24"/>
      <c r="P10" s="24"/>
    </row>
    <row r="11" spans="1:16" s="16" customFormat="1" ht="15.75">
      <c r="A11" s="17">
        <v>4</v>
      </c>
      <c r="B11" s="74">
        <v>246</v>
      </c>
      <c r="C11" s="53" t="s">
        <v>143</v>
      </c>
      <c r="D11" s="113">
        <v>1469</v>
      </c>
      <c r="E11" s="113">
        <v>369</v>
      </c>
      <c r="F11" s="113">
        <f>40+65+40</f>
        <v>145</v>
      </c>
      <c r="G11" s="114">
        <f t="shared" si="0"/>
        <v>1983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1:16" s="16" customFormat="1" ht="15.75">
      <c r="A12" s="17">
        <v>5</v>
      </c>
      <c r="B12" s="74">
        <v>166</v>
      </c>
      <c r="C12" s="34" t="s">
        <v>137</v>
      </c>
      <c r="D12" s="113">
        <v>1456</v>
      </c>
      <c r="E12" s="113">
        <v>402.53</v>
      </c>
      <c r="F12" s="113">
        <v>99</v>
      </c>
      <c r="G12" s="114">
        <f t="shared" si="0"/>
        <v>1957.53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6" s="16" customFormat="1" ht="15.75">
      <c r="A13" s="17">
        <v>6</v>
      </c>
      <c r="B13" s="74">
        <v>127</v>
      </c>
      <c r="C13" s="35" t="s">
        <v>135</v>
      </c>
      <c r="D13" s="113">
        <v>1418.5</v>
      </c>
      <c r="E13" s="113">
        <v>292.75</v>
      </c>
      <c r="F13" s="113">
        <f>57+12+12+12</f>
        <v>93</v>
      </c>
      <c r="G13" s="114">
        <f t="shared" si="0"/>
        <v>1804.25</v>
      </c>
      <c r="H13" s="24"/>
      <c r="I13" s="24"/>
      <c r="J13" s="24"/>
      <c r="K13" s="24"/>
      <c r="L13" s="24"/>
      <c r="M13" s="24"/>
      <c r="N13" s="24"/>
      <c r="O13" s="24"/>
      <c r="P13" s="24"/>
    </row>
    <row r="14" spans="1:16" s="16" customFormat="1" ht="15.75">
      <c r="A14" s="17">
        <v>7</v>
      </c>
      <c r="B14" s="74">
        <v>37</v>
      </c>
      <c r="C14" s="53" t="s">
        <v>93</v>
      </c>
      <c r="D14" s="113">
        <v>975.5</v>
      </c>
      <c r="E14" s="113">
        <v>612</v>
      </c>
      <c r="F14" s="113">
        <f>17+12+12+12+12</f>
        <v>65</v>
      </c>
      <c r="G14" s="114">
        <f t="shared" si="0"/>
        <v>1652.5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6" s="16" customFormat="1" ht="15.75">
      <c r="A15" s="17">
        <v>8</v>
      </c>
      <c r="B15" s="74">
        <v>129</v>
      </c>
      <c r="C15" s="35" t="s">
        <v>65</v>
      </c>
      <c r="D15" s="113">
        <v>1008</v>
      </c>
      <c r="E15" s="113">
        <v>443.67</v>
      </c>
      <c r="F15" s="113">
        <f>65+42</f>
        <v>107</v>
      </c>
      <c r="G15" s="114">
        <f t="shared" si="0"/>
        <v>1558.67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s="16" customFormat="1" ht="15.75">
      <c r="A16" s="17">
        <v>9</v>
      </c>
      <c r="B16" s="74">
        <v>256</v>
      </c>
      <c r="C16" s="53" t="s">
        <v>111</v>
      </c>
      <c r="D16" s="113">
        <v>970</v>
      </c>
      <c r="E16" s="113">
        <v>236.87</v>
      </c>
      <c r="F16" s="113">
        <v>35</v>
      </c>
      <c r="G16" s="114">
        <f t="shared" si="0"/>
        <v>1241.8699999999999</v>
      </c>
      <c r="H16" s="24"/>
      <c r="I16" s="24"/>
      <c r="J16" s="24"/>
      <c r="K16" s="24"/>
      <c r="L16" s="24"/>
      <c r="M16" s="24"/>
      <c r="N16" s="24"/>
      <c r="O16" s="24"/>
      <c r="P16" s="24"/>
    </row>
    <row r="17" spans="1:16" s="16" customFormat="1" ht="15.75">
      <c r="A17" s="17">
        <v>10</v>
      </c>
      <c r="B17" s="74">
        <v>225</v>
      </c>
      <c r="C17" s="53" t="s">
        <v>139</v>
      </c>
      <c r="D17" s="113">
        <v>685</v>
      </c>
      <c r="E17" s="113">
        <v>231.23</v>
      </c>
      <c r="F17" s="113">
        <v>57</v>
      </c>
      <c r="G17" s="114">
        <f t="shared" si="0"/>
        <v>973.23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s="16" customFormat="1" ht="15.75">
      <c r="A18" s="17">
        <v>11</v>
      </c>
      <c r="B18" s="74">
        <v>259</v>
      </c>
      <c r="C18" s="8" t="s">
        <v>117</v>
      </c>
      <c r="D18" s="113">
        <v>708</v>
      </c>
      <c r="E18" s="113">
        <v>220</v>
      </c>
      <c r="F18" s="113">
        <v>30</v>
      </c>
      <c r="G18" s="114">
        <f t="shared" si="0"/>
        <v>958</v>
      </c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6" customFormat="1" ht="15.75">
      <c r="A19" s="17">
        <v>12</v>
      </c>
      <c r="B19" s="74">
        <v>6</v>
      </c>
      <c r="C19" s="34" t="s">
        <v>7</v>
      </c>
      <c r="D19" s="113">
        <v>560</v>
      </c>
      <c r="E19" s="113">
        <v>290</v>
      </c>
      <c r="F19" s="113">
        <f>17+12+12+12</f>
        <v>53</v>
      </c>
      <c r="G19" s="114">
        <f t="shared" si="0"/>
        <v>903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s="16" customFormat="1" ht="26.25">
      <c r="A20" s="17">
        <v>13</v>
      </c>
      <c r="B20" s="74">
        <v>59</v>
      </c>
      <c r="C20" s="71" t="s">
        <v>119</v>
      </c>
      <c r="D20" s="113">
        <v>664</v>
      </c>
      <c r="E20" s="113">
        <v>155.19999999999999</v>
      </c>
      <c r="F20" s="113">
        <v>60</v>
      </c>
      <c r="G20" s="114">
        <f t="shared" si="0"/>
        <v>879.2</v>
      </c>
      <c r="H20" s="24"/>
      <c r="I20" s="24"/>
      <c r="J20" s="24"/>
      <c r="K20" s="24"/>
      <c r="L20" s="24"/>
      <c r="M20" s="24"/>
      <c r="N20" s="24"/>
      <c r="O20" s="24"/>
      <c r="P20" s="24"/>
    </row>
    <row r="21" spans="1:16" s="16" customFormat="1" ht="15.75">
      <c r="A21" s="17">
        <v>14</v>
      </c>
      <c r="B21" s="74">
        <v>257</v>
      </c>
      <c r="C21" s="53" t="s">
        <v>112</v>
      </c>
      <c r="D21" s="113">
        <f>488+180</f>
        <v>668</v>
      </c>
      <c r="E21" s="113">
        <v>144.66999999999999</v>
      </c>
      <c r="F21" s="113">
        <v>52</v>
      </c>
      <c r="G21" s="114">
        <f t="shared" si="0"/>
        <v>864.67</v>
      </c>
      <c r="H21" s="24"/>
      <c r="I21" s="24"/>
      <c r="J21" s="24"/>
      <c r="K21" s="24"/>
      <c r="L21" s="24"/>
      <c r="M21" s="24"/>
      <c r="N21" s="24"/>
      <c r="O21" s="24"/>
      <c r="P21" s="24"/>
    </row>
    <row r="22" spans="1:16" s="16" customFormat="1" ht="15.75">
      <c r="A22" s="17">
        <v>15</v>
      </c>
      <c r="B22" s="74">
        <v>254</v>
      </c>
      <c r="C22" s="53" t="s">
        <v>101</v>
      </c>
      <c r="D22" s="113">
        <v>562.5</v>
      </c>
      <c r="E22" s="113">
        <v>199.33</v>
      </c>
      <c r="F22" s="113">
        <v>20</v>
      </c>
      <c r="G22" s="114">
        <f t="shared" si="0"/>
        <v>781.83</v>
      </c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6" customFormat="1" ht="15.75">
      <c r="A23" s="17">
        <v>16</v>
      </c>
      <c r="B23" s="74">
        <v>258</v>
      </c>
      <c r="C23" s="53" t="s">
        <v>114</v>
      </c>
      <c r="D23" s="113">
        <v>532</v>
      </c>
      <c r="E23" s="113">
        <v>126.93</v>
      </c>
      <c r="F23" s="113">
        <v>19</v>
      </c>
      <c r="G23" s="114">
        <f t="shared" si="0"/>
        <v>677.93000000000006</v>
      </c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6" customFormat="1" ht="15.75">
      <c r="A24" s="17">
        <v>17</v>
      </c>
      <c r="B24" s="74">
        <v>277</v>
      </c>
      <c r="C24" s="79" t="s">
        <v>175</v>
      </c>
      <c r="D24" s="113">
        <v>500.5</v>
      </c>
      <c r="E24" s="113">
        <v>127</v>
      </c>
      <c r="F24" s="113">
        <v>22</v>
      </c>
      <c r="G24" s="114">
        <f t="shared" si="0"/>
        <v>649.5</v>
      </c>
      <c r="H24" s="24"/>
      <c r="I24" s="24"/>
      <c r="J24" s="24"/>
      <c r="K24" s="24"/>
      <c r="L24" s="24"/>
      <c r="M24" s="24"/>
      <c r="N24" s="24"/>
      <c r="O24" s="24"/>
      <c r="P24" s="24"/>
    </row>
    <row r="25" spans="1:16" s="16" customFormat="1" ht="15.75">
      <c r="A25" s="17">
        <v>18</v>
      </c>
      <c r="B25" s="74">
        <v>261</v>
      </c>
      <c r="C25" s="8" t="s">
        <v>387</v>
      </c>
      <c r="D25" s="113">
        <v>465</v>
      </c>
      <c r="E25" s="113">
        <v>101.4</v>
      </c>
      <c r="F25" s="113">
        <v>65</v>
      </c>
      <c r="G25" s="114">
        <f t="shared" si="0"/>
        <v>631.4</v>
      </c>
      <c r="H25" s="24"/>
      <c r="I25" s="24"/>
      <c r="J25" s="24"/>
      <c r="K25" s="24"/>
      <c r="L25" s="24"/>
      <c r="M25" s="24"/>
      <c r="N25" s="24"/>
      <c r="O25" s="24"/>
      <c r="P25" s="24"/>
    </row>
    <row r="26" spans="1:16" s="16" customFormat="1" ht="15.75">
      <c r="A26" s="17">
        <v>19</v>
      </c>
      <c r="B26" s="74">
        <v>247</v>
      </c>
      <c r="C26" s="53" t="s">
        <v>103</v>
      </c>
      <c r="D26" s="113">
        <v>420</v>
      </c>
      <c r="E26" s="113">
        <v>78</v>
      </c>
      <c r="F26" s="113">
        <v>42</v>
      </c>
      <c r="G26" s="114">
        <f t="shared" si="0"/>
        <v>540</v>
      </c>
      <c r="H26" s="24"/>
      <c r="I26" s="24"/>
      <c r="J26" s="24"/>
      <c r="K26" s="24"/>
      <c r="L26" s="24"/>
      <c r="M26" s="24"/>
      <c r="N26" s="24"/>
      <c r="O26" s="24"/>
      <c r="P26" s="24"/>
    </row>
    <row r="27" spans="1:16" s="16" customFormat="1" ht="15.75">
      <c r="A27" s="17">
        <v>20</v>
      </c>
      <c r="B27" s="74">
        <v>176</v>
      </c>
      <c r="C27" s="34" t="s">
        <v>108</v>
      </c>
      <c r="D27" s="113">
        <v>239</v>
      </c>
      <c r="E27" s="113">
        <v>152</v>
      </c>
      <c r="F27" s="113">
        <v>12</v>
      </c>
      <c r="G27" s="114">
        <f t="shared" si="0"/>
        <v>403</v>
      </c>
      <c r="H27" s="24"/>
      <c r="I27" s="24"/>
      <c r="J27" s="24"/>
      <c r="K27" s="24"/>
      <c r="L27" s="24"/>
      <c r="M27" s="24"/>
      <c r="N27" s="24"/>
      <c r="O27" s="24"/>
      <c r="P27" s="24"/>
    </row>
    <row r="28" spans="1:16" s="16" customFormat="1" ht="15.75">
      <c r="A28" s="17">
        <v>21</v>
      </c>
      <c r="B28" s="76">
        <v>161</v>
      </c>
      <c r="C28" s="34" t="s">
        <v>136</v>
      </c>
      <c r="D28" s="113">
        <v>170</v>
      </c>
      <c r="E28" s="113">
        <v>213.5</v>
      </c>
      <c r="F28" s="113">
        <v>4</v>
      </c>
      <c r="G28" s="114">
        <f t="shared" si="0"/>
        <v>387.5</v>
      </c>
      <c r="H28" s="24"/>
      <c r="I28" s="24"/>
      <c r="J28" s="24"/>
      <c r="K28" s="24"/>
      <c r="L28" s="24"/>
      <c r="M28" s="24"/>
      <c r="N28" s="24"/>
      <c r="O28" s="24"/>
      <c r="P28" s="24"/>
    </row>
    <row r="29" spans="1:16" s="16" customFormat="1" ht="15.75">
      <c r="A29" s="17">
        <v>22</v>
      </c>
      <c r="B29" s="74">
        <v>241</v>
      </c>
      <c r="C29" s="53" t="s">
        <v>141</v>
      </c>
      <c r="D29" s="113">
        <v>287</v>
      </c>
      <c r="E29" s="113">
        <v>70</v>
      </c>
      <c r="F29" s="113">
        <v>12</v>
      </c>
      <c r="G29" s="114">
        <f t="shared" si="0"/>
        <v>369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6" s="16" customFormat="1" ht="15.75">
      <c r="A30" s="17">
        <v>23</v>
      </c>
      <c r="B30" s="74">
        <v>181</v>
      </c>
      <c r="C30" s="34" t="s">
        <v>73</v>
      </c>
      <c r="D30" s="113">
        <v>243.5</v>
      </c>
      <c r="E30" s="113">
        <v>112</v>
      </c>
      <c r="F30" s="113">
        <v>7</v>
      </c>
      <c r="G30" s="114">
        <f t="shared" si="0"/>
        <v>362.5</v>
      </c>
      <c r="H30" s="24"/>
      <c r="I30" s="24"/>
      <c r="J30" s="24"/>
      <c r="K30" s="24"/>
      <c r="L30" s="24"/>
      <c r="M30" s="24"/>
      <c r="N30" s="24"/>
      <c r="O30" s="24"/>
      <c r="P30" s="24"/>
    </row>
    <row r="31" spans="1:16" s="16" customFormat="1" ht="15.75">
      <c r="A31" s="17">
        <v>24</v>
      </c>
      <c r="B31" s="74">
        <v>204</v>
      </c>
      <c r="C31" s="34" t="s">
        <v>118</v>
      </c>
      <c r="D31" s="113">
        <v>207</v>
      </c>
      <c r="E31" s="113">
        <v>70.17</v>
      </c>
      <c r="F31" s="113">
        <v>65</v>
      </c>
      <c r="G31" s="114">
        <f t="shared" si="0"/>
        <v>342.17</v>
      </c>
      <c r="H31" s="24"/>
      <c r="I31" s="24"/>
      <c r="J31" s="24"/>
      <c r="K31" s="24"/>
      <c r="L31" s="24"/>
      <c r="M31" s="24"/>
      <c r="N31" s="24"/>
      <c r="O31" s="24"/>
      <c r="P31" s="24"/>
    </row>
    <row r="32" spans="1:16" s="16" customFormat="1" ht="15.75">
      <c r="A32" s="17">
        <v>25</v>
      </c>
      <c r="B32" s="74">
        <v>44</v>
      </c>
      <c r="C32" s="53" t="s">
        <v>12</v>
      </c>
      <c r="D32" s="113">
        <v>180</v>
      </c>
      <c r="E32" s="113">
        <v>124.67</v>
      </c>
      <c r="F32" s="113">
        <v>17</v>
      </c>
      <c r="G32" s="114">
        <f t="shared" si="0"/>
        <v>321.67</v>
      </c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6" customFormat="1" ht="15.75">
      <c r="A33" s="17">
        <v>26</v>
      </c>
      <c r="B33" s="74">
        <v>286</v>
      </c>
      <c r="C33" s="79" t="s">
        <v>388</v>
      </c>
      <c r="D33" s="113">
        <v>70</v>
      </c>
      <c r="E33" s="113">
        <v>160</v>
      </c>
      <c r="F33" s="113">
        <v>50</v>
      </c>
      <c r="G33" s="114">
        <f t="shared" si="0"/>
        <v>280</v>
      </c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6" customFormat="1" ht="15.75">
      <c r="A34" s="17">
        <v>27</v>
      </c>
      <c r="B34" s="74">
        <v>162</v>
      </c>
      <c r="C34" s="34" t="s">
        <v>66</v>
      </c>
      <c r="D34" s="113">
        <v>114</v>
      </c>
      <c r="E34" s="113">
        <v>143.41999999999999</v>
      </c>
      <c r="F34" s="113">
        <v>17</v>
      </c>
      <c r="G34" s="114">
        <f t="shared" si="0"/>
        <v>274.41999999999996</v>
      </c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6" customFormat="1" ht="15.75">
      <c r="A35" s="17">
        <v>28</v>
      </c>
      <c r="B35" s="74">
        <v>242</v>
      </c>
      <c r="C35" s="53" t="s">
        <v>142</v>
      </c>
      <c r="D35" s="113">
        <v>96.5</v>
      </c>
      <c r="E35" s="113">
        <v>114.33</v>
      </c>
      <c r="F35" s="113">
        <v>60</v>
      </c>
      <c r="G35" s="114">
        <f t="shared" si="0"/>
        <v>270.83</v>
      </c>
      <c r="H35" s="24"/>
      <c r="I35" s="24"/>
      <c r="J35" s="24"/>
      <c r="K35" s="24"/>
      <c r="L35" s="24"/>
      <c r="M35" s="24"/>
      <c r="N35" s="24"/>
      <c r="O35" s="24"/>
      <c r="P35" s="24"/>
    </row>
    <row r="36" spans="1:16" s="16" customFormat="1" ht="15.75">
      <c r="A36" s="17">
        <v>29</v>
      </c>
      <c r="B36" s="74">
        <v>67</v>
      </c>
      <c r="C36" s="34" t="s">
        <v>14</v>
      </c>
      <c r="D36" s="113">
        <v>126</v>
      </c>
      <c r="E36" s="113">
        <v>85</v>
      </c>
      <c r="F36" s="113">
        <v>29</v>
      </c>
      <c r="G36" s="114">
        <f t="shared" si="0"/>
        <v>240</v>
      </c>
      <c r="H36" s="24"/>
      <c r="I36" s="24"/>
      <c r="J36" s="24"/>
      <c r="K36" s="24"/>
      <c r="L36" s="24"/>
      <c r="M36" s="24"/>
      <c r="N36" s="24"/>
      <c r="O36" s="24"/>
      <c r="P36" s="24"/>
    </row>
    <row r="37" spans="1:16" s="16" customFormat="1" ht="15.75">
      <c r="A37" s="17">
        <v>30</v>
      </c>
      <c r="B37" s="74">
        <v>171</v>
      </c>
      <c r="C37" s="34" t="s">
        <v>67</v>
      </c>
      <c r="D37" s="113">
        <v>130.5</v>
      </c>
      <c r="E37" s="113">
        <v>93</v>
      </c>
      <c r="F37" s="113">
        <v>7</v>
      </c>
      <c r="G37" s="114">
        <f t="shared" si="0"/>
        <v>230.5</v>
      </c>
      <c r="H37" s="24"/>
      <c r="I37" s="24"/>
      <c r="J37" s="24"/>
      <c r="K37" s="24"/>
      <c r="L37" s="24"/>
      <c r="M37" s="24"/>
      <c r="N37" s="24"/>
      <c r="O37" s="24"/>
      <c r="P37" s="24"/>
    </row>
    <row r="38" spans="1:16" s="16" customFormat="1" ht="15.75">
      <c r="A38" s="17">
        <v>31</v>
      </c>
      <c r="B38" s="83">
        <v>132</v>
      </c>
      <c r="C38" s="35" t="s">
        <v>83</v>
      </c>
      <c r="D38" s="113">
        <v>138</v>
      </c>
      <c r="E38" s="113">
        <v>77</v>
      </c>
      <c r="F38" s="113">
        <v>12</v>
      </c>
      <c r="G38" s="114">
        <f t="shared" si="0"/>
        <v>227</v>
      </c>
      <c r="H38" s="24"/>
      <c r="I38" s="24"/>
      <c r="J38" s="24"/>
      <c r="K38" s="24"/>
      <c r="L38" s="24"/>
      <c r="M38" s="24"/>
      <c r="N38" s="24"/>
      <c r="O38" s="24"/>
      <c r="P38" s="24"/>
    </row>
    <row r="39" spans="1:16" s="16" customFormat="1" ht="15.75">
      <c r="A39" s="17">
        <v>32</v>
      </c>
      <c r="B39" s="74">
        <v>207</v>
      </c>
      <c r="C39" s="34" t="s">
        <v>88</v>
      </c>
      <c r="D39" s="113">
        <v>111.5</v>
      </c>
      <c r="E39" s="113">
        <v>96.33</v>
      </c>
      <c r="F39" s="113">
        <v>17</v>
      </c>
      <c r="G39" s="114">
        <f t="shared" si="0"/>
        <v>224.82999999999998</v>
      </c>
      <c r="H39" s="24"/>
      <c r="I39" s="24"/>
      <c r="J39" s="24"/>
      <c r="K39" s="24"/>
      <c r="L39" s="24"/>
      <c r="M39" s="24"/>
      <c r="N39" s="24"/>
      <c r="O39" s="24"/>
      <c r="P39" s="24"/>
    </row>
    <row r="40" spans="1:16" s="16" customFormat="1" ht="15.75">
      <c r="A40" s="17">
        <v>33</v>
      </c>
      <c r="B40" s="74">
        <v>250</v>
      </c>
      <c r="C40" s="53" t="s">
        <v>173</v>
      </c>
      <c r="D40" s="113">
        <v>124</v>
      </c>
      <c r="E40" s="113">
        <v>87</v>
      </c>
      <c r="F40" s="113">
        <v>12</v>
      </c>
      <c r="G40" s="114">
        <f t="shared" ref="G40:G67" si="1">D40+E40+F40</f>
        <v>223</v>
      </c>
      <c r="H40" s="24"/>
      <c r="I40" s="24"/>
      <c r="J40" s="24"/>
      <c r="K40" s="24"/>
      <c r="L40" s="24"/>
      <c r="M40" s="24"/>
      <c r="N40" s="24"/>
      <c r="O40" s="24"/>
      <c r="P40" s="24"/>
    </row>
    <row r="41" spans="1:16" s="16" customFormat="1" ht="15.75">
      <c r="A41" s="17">
        <v>34</v>
      </c>
      <c r="B41" s="74">
        <v>248</v>
      </c>
      <c r="C41" s="53" t="s">
        <v>144</v>
      </c>
      <c r="D41" s="113">
        <v>107</v>
      </c>
      <c r="E41" s="113">
        <v>96</v>
      </c>
      <c r="F41" s="113">
        <v>17</v>
      </c>
      <c r="G41" s="114">
        <f t="shared" si="1"/>
        <v>220</v>
      </c>
      <c r="H41" s="24"/>
      <c r="I41" s="24"/>
      <c r="J41" s="24"/>
      <c r="K41" s="24"/>
      <c r="L41" s="24"/>
      <c r="M41" s="24"/>
      <c r="N41" s="24"/>
      <c r="O41" s="24"/>
      <c r="P41" s="24"/>
    </row>
    <row r="42" spans="1:16" s="16" customFormat="1" ht="15.75">
      <c r="A42" s="17">
        <v>35</v>
      </c>
      <c r="B42" s="74">
        <v>276</v>
      </c>
      <c r="C42" s="38" t="s">
        <v>174</v>
      </c>
      <c r="D42" s="113">
        <v>123</v>
      </c>
      <c r="E42" s="113">
        <v>66</v>
      </c>
      <c r="F42" s="113">
        <v>12</v>
      </c>
      <c r="G42" s="114">
        <f t="shared" si="1"/>
        <v>201</v>
      </c>
      <c r="H42" s="24"/>
      <c r="I42" s="24"/>
      <c r="J42" s="24"/>
      <c r="K42" s="24"/>
      <c r="L42" s="24"/>
      <c r="M42" s="24"/>
      <c r="N42" s="24"/>
      <c r="O42" s="24"/>
      <c r="P42" s="24"/>
    </row>
    <row r="43" spans="1:16" s="16" customFormat="1" ht="15.75">
      <c r="A43" s="17">
        <v>36</v>
      </c>
      <c r="B43" s="74">
        <v>98</v>
      </c>
      <c r="C43" s="53" t="s">
        <v>105</v>
      </c>
      <c r="D43" s="113">
        <v>6</v>
      </c>
      <c r="E43" s="113">
        <v>182</v>
      </c>
      <c r="F43" s="113">
        <v>12</v>
      </c>
      <c r="G43" s="114">
        <f t="shared" si="1"/>
        <v>200</v>
      </c>
      <c r="H43" s="24"/>
      <c r="I43" s="24"/>
      <c r="J43" s="24"/>
      <c r="K43" s="24"/>
      <c r="L43" s="24"/>
      <c r="M43" s="24"/>
      <c r="N43" s="24"/>
      <c r="O43" s="24"/>
      <c r="P43" s="24"/>
    </row>
    <row r="44" spans="1:16" s="16" customFormat="1" ht="15.75">
      <c r="A44" s="17">
        <v>37</v>
      </c>
      <c r="B44" s="83">
        <v>136</v>
      </c>
      <c r="C44" s="35" t="s">
        <v>40</v>
      </c>
      <c r="D44" s="113">
        <v>103</v>
      </c>
      <c r="E44" s="113">
        <v>77</v>
      </c>
      <c r="F44" s="113">
        <v>17</v>
      </c>
      <c r="G44" s="114">
        <f t="shared" si="1"/>
        <v>197</v>
      </c>
      <c r="H44" s="24"/>
      <c r="I44" s="24"/>
      <c r="J44" s="24"/>
      <c r="K44" s="24"/>
      <c r="L44" s="24"/>
      <c r="M44" s="24"/>
      <c r="N44" s="24"/>
      <c r="O44" s="24"/>
      <c r="P44" s="24"/>
    </row>
    <row r="45" spans="1:16" s="16" customFormat="1" ht="15.75">
      <c r="A45" s="17">
        <v>38</v>
      </c>
      <c r="B45" s="74">
        <v>268</v>
      </c>
      <c r="C45" s="38" t="s">
        <v>176</v>
      </c>
      <c r="D45" s="113">
        <v>137</v>
      </c>
      <c r="E45" s="113">
        <v>38</v>
      </c>
      <c r="F45" s="113">
        <v>12</v>
      </c>
      <c r="G45" s="114">
        <f t="shared" si="1"/>
        <v>187</v>
      </c>
      <c r="H45" s="24"/>
      <c r="I45" s="24"/>
      <c r="J45" s="24"/>
      <c r="K45" s="24"/>
      <c r="L45" s="24"/>
      <c r="M45" s="24"/>
      <c r="N45" s="24"/>
      <c r="O45" s="24"/>
      <c r="P45" s="24"/>
    </row>
    <row r="46" spans="1:16" s="16" customFormat="1" ht="15.75">
      <c r="A46" s="17">
        <v>39</v>
      </c>
      <c r="B46" s="74">
        <v>2</v>
      </c>
      <c r="C46" s="34" t="s">
        <v>6</v>
      </c>
      <c r="D46" s="113">
        <v>70.5</v>
      </c>
      <c r="E46" s="113">
        <v>71</v>
      </c>
      <c r="F46" s="113">
        <v>12</v>
      </c>
      <c r="G46" s="114">
        <f t="shared" si="1"/>
        <v>153.5</v>
      </c>
      <c r="H46" s="24"/>
      <c r="I46" s="24"/>
      <c r="J46" s="24"/>
      <c r="K46" s="24"/>
      <c r="L46" s="24"/>
      <c r="M46" s="24"/>
      <c r="N46" s="24"/>
      <c r="O46" s="24"/>
      <c r="P46" s="24"/>
    </row>
    <row r="47" spans="1:16" s="16" customFormat="1" ht="15.75">
      <c r="A47" s="17">
        <v>40</v>
      </c>
      <c r="B47" s="74">
        <v>236</v>
      </c>
      <c r="C47" s="53" t="s">
        <v>140</v>
      </c>
      <c r="D47" s="113">
        <f>42.5+10</f>
        <v>52.5</v>
      </c>
      <c r="E47" s="113">
        <v>72</v>
      </c>
      <c r="F47" s="113">
        <v>29</v>
      </c>
      <c r="G47" s="114">
        <f t="shared" si="1"/>
        <v>153.5</v>
      </c>
      <c r="H47" s="24"/>
      <c r="I47" s="24"/>
      <c r="J47" s="24"/>
      <c r="K47" s="24"/>
      <c r="L47" s="24"/>
      <c r="M47" s="24"/>
      <c r="N47" s="24"/>
      <c r="O47" s="24"/>
      <c r="P47" s="24"/>
    </row>
    <row r="48" spans="1:16" s="16" customFormat="1" ht="15.75">
      <c r="A48" s="17">
        <v>41</v>
      </c>
      <c r="B48" s="74">
        <v>65</v>
      </c>
      <c r="C48" s="34" t="s">
        <v>61</v>
      </c>
      <c r="D48" s="113">
        <v>74</v>
      </c>
      <c r="E48" s="113">
        <v>46.33</v>
      </c>
      <c r="F48" s="113">
        <v>30</v>
      </c>
      <c r="G48" s="114">
        <f t="shared" si="1"/>
        <v>150.32999999999998</v>
      </c>
      <c r="H48" s="24"/>
      <c r="I48" s="24"/>
      <c r="J48" s="24"/>
      <c r="K48" s="24"/>
      <c r="L48" s="24"/>
      <c r="M48" s="24"/>
      <c r="N48" s="24"/>
      <c r="O48" s="24"/>
      <c r="P48" s="24"/>
    </row>
    <row r="49" spans="1:16" s="16" customFormat="1" ht="15.75">
      <c r="A49" s="17">
        <v>42</v>
      </c>
      <c r="B49" s="74">
        <v>178</v>
      </c>
      <c r="C49" s="34" t="s">
        <v>147</v>
      </c>
      <c r="D49" s="113">
        <v>68</v>
      </c>
      <c r="E49" s="113">
        <v>44</v>
      </c>
      <c r="F49" s="113">
        <v>30</v>
      </c>
      <c r="G49" s="114">
        <f t="shared" si="1"/>
        <v>142</v>
      </c>
      <c r="H49" s="24"/>
      <c r="I49" s="24"/>
      <c r="J49" s="24"/>
      <c r="K49" s="24"/>
      <c r="L49" s="24"/>
      <c r="M49" s="24"/>
      <c r="N49" s="24"/>
      <c r="O49" s="24"/>
      <c r="P49" s="24"/>
    </row>
    <row r="50" spans="1:16" s="16" customFormat="1" ht="15.75">
      <c r="A50" s="17">
        <v>43</v>
      </c>
      <c r="B50" s="74">
        <v>170</v>
      </c>
      <c r="C50" s="34" t="s">
        <v>138</v>
      </c>
      <c r="D50" s="113">
        <v>78.5</v>
      </c>
      <c r="E50" s="113">
        <v>38</v>
      </c>
      <c r="F50" s="113">
        <v>12</v>
      </c>
      <c r="G50" s="114">
        <f t="shared" si="1"/>
        <v>128.5</v>
      </c>
      <c r="H50" s="24"/>
      <c r="I50" s="24"/>
      <c r="J50" s="24"/>
      <c r="K50" s="24"/>
      <c r="L50" s="24"/>
      <c r="M50" s="24"/>
      <c r="N50" s="24"/>
      <c r="O50" s="24"/>
      <c r="P50" s="24"/>
    </row>
    <row r="51" spans="1:16" s="16" customFormat="1" ht="15.75">
      <c r="A51" s="17">
        <v>44</v>
      </c>
      <c r="B51" s="74">
        <v>125</v>
      </c>
      <c r="C51" s="35" t="s">
        <v>39</v>
      </c>
      <c r="D51" s="113">
        <v>58</v>
      </c>
      <c r="E51" s="113">
        <v>38.5</v>
      </c>
      <c r="F51" s="113">
        <v>17</v>
      </c>
      <c r="G51" s="114">
        <f t="shared" si="1"/>
        <v>113.5</v>
      </c>
      <c r="H51" s="24"/>
      <c r="I51" s="24"/>
      <c r="J51" s="24"/>
      <c r="K51" s="24"/>
      <c r="L51" s="24"/>
      <c r="M51" s="24"/>
      <c r="N51" s="24"/>
      <c r="O51" s="24"/>
      <c r="P51" s="24"/>
    </row>
    <row r="52" spans="1:16" s="16" customFormat="1" ht="15.75">
      <c r="A52" s="17">
        <v>45</v>
      </c>
      <c r="B52" s="74">
        <v>13</v>
      </c>
      <c r="C52" s="34" t="s">
        <v>9</v>
      </c>
      <c r="D52" s="113">
        <v>52.5</v>
      </c>
      <c r="E52" s="113">
        <v>48</v>
      </c>
      <c r="F52" s="113">
        <v>12</v>
      </c>
      <c r="G52" s="114">
        <f t="shared" si="1"/>
        <v>112.5</v>
      </c>
      <c r="H52" s="24"/>
      <c r="I52" s="24"/>
      <c r="J52" s="24"/>
      <c r="K52" s="24"/>
      <c r="L52" s="24"/>
      <c r="M52" s="24"/>
      <c r="N52" s="24"/>
      <c r="O52" s="24"/>
      <c r="P52" s="24"/>
    </row>
    <row r="53" spans="1:16" s="24" customFormat="1" ht="15.75">
      <c r="A53" s="17">
        <v>46</v>
      </c>
      <c r="B53" s="74">
        <v>121</v>
      </c>
      <c r="C53" s="35" t="s">
        <v>35</v>
      </c>
      <c r="D53" s="113">
        <v>31.5</v>
      </c>
      <c r="E53" s="113">
        <v>48</v>
      </c>
      <c r="F53" s="113">
        <v>17</v>
      </c>
      <c r="G53" s="114">
        <f t="shared" si="1"/>
        <v>96.5</v>
      </c>
    </row>
    <row r="54" spans="1:16" s="16" customFormat="1" ht="15.75">
      <c r="A54" s="17">
        <v>47</v>
      </c>
      <c r="B54" s="74">
        <v>231</v>
      </c>
      <c r="C54" s="53" t="s">
        <v>106</v>
      </c>
      <c r="D54" s="113">
        <v>52.5</v>
      </c>
      <c r="E54" s="113">
        <v>38</v>
      </c>
      <c r="F54" s="113">
        <v>2</v>
      </c>
      <c r="G54" s="114">
        <f t="shared" si="1"/>
        <v>92.5</v>
      </c>
      <c r="H54" s="24"/>
      <c r="I54" s="24"/>
      <c r="J54" s="24"/>
      <c r="K54" s="24"/>
      <c r="L54" s="24"/>
      <c r="M54" s="24"/>
      <c r="N54" s="24"/>
      <c r="O54" s="24"/>
      <c r="P54" s="24"/>
    </row>
    <row r="55" spans="1:16" s="16" customFormat="1" ht="15.75">
      <c r="A55" s="17">
        <v>48</v>
      </c>
      <c r="B55" s="74">
        <v>85</v>
      </c>
      <c r="C55" s="34" t="s">
        <v>63</v>
      </c>
      <c r="D55" s="113">
        <v>34.5</v>
      </c>
      <c r="E55" s="113">
        <v>56</v>
      </c>
      <c r="F55" s="113">
        <v>0</v>
      </c>
      <c r="G55" s="114">
        <f t="shared" si="1"/>
        <v>90.5</v>
      </c>
      <c r="H55" s="24"/>
      <c r="I55" s="24"/>
      <c r="J55" s="24"/>
      <c r="K55" s="24"/>
      <c r="L55" s="24"/>
      <c r="M55" s="24"/>
      <c r="N55" s="24"/>
      <c r="O55" s="24"/>
      <c r="P55" s="24"/>
    </row>
    <row r="56" spans="1:16" s="16" customFormat="1" ht="15.75">
      <c r="A56" s="17">
        <v>49</v>
      </c>
      <c r="B56" s="74">
        <v>230</v>
      </c>
      <c r="C56" s="53" t="s">
        <v>87</v>
      </c>
      <c r="D56" s="113">
        <v>33</v>
      </c>
      <c r="E56" s="113">
        <v>52</v>
      </c>
      <c r="F56" s="113">
        <v>2</v>
      </c>
      <c r="G56" s="114">
        <f t="shared" si="1"/>
        <v>87</v>
      </c>
      <c r="H56" s="24"/>
      <c r="I56" s="24"/>
      <c r="J56" s="24"/>
      <c r="K56" s="24"/>
      <c r="L56" s="24"/>
      <c r="M56" s="24"/>
      <c r="N56" s="24"/>
      <c r="O56" s="24"/>
      <c r="P56" s="24"/>
    </row>
    <row r="57" spans="1:16" s="16" customFormat="1" ht="15.75">
      <c r="A57" s="17">
        <v>50</v>
      </c>
      <c r="B57" s="74">
        <v>173</v>
      </c>
      <c r="C57" s="78" t="s">
        <v>68</v>
      </c>
      <c r="D57" s="113">
        <v>41</v>
      </c>
      <c r="E57" s="113">
        <v>43</v>
      </c>
      <c r="F57" s="113">
        <v>0</v>
      </c>
      <c r="G57" s="114">
        <f t="shared" si="1"/>
        <v>84</v>
      </c>
      <c r="H57" s="24"/>
      <c r="I57" s="24"/>
      <c r="J57" s="24"/>
      <c r="K57" s="24"/>
      <c r="L57" s="24"/>
      <c r="M57" s="24"/>
      <c r="N57" s="24"/>
      <c r="O57" s="24"/>
      <c r="P57" s="24"/>
    </row>
    <row r="58" spans="1:16" s="16" customFormat="1" ht="15.75">
      <c r="A58" s="17">
        <v>51</v>
      </c>
      <c r="B58" s="74">
        <v>288</v>
      </c>
      <c r="C58" s="79" t="s">
        <v>389</v>
      </c>
      <c r="D58" s="113">
        <v>20</v>
      </c>
      <c r="E58" s="113">
        <v>60</v>
      </c>
      <c r="F58" s="113">
        <v>2</v>
      </c>
      <c r="G58" s="114">
        <f t="shared" si="1"/>
        <v>82</v>
      </c>
      <c r="H58" s="24"/>
      <c r="I58" s="24"/>
      <c r="J58" s="24"/>
      <c r="K58" s="24"/>
      <c r="L58" s="24"/>
      <c r="M58" s="24"/>
      <c r="N58" s="24"/>
      <c r="O58" s="24"/>
      <c r="P58" s="24"/>
    </row>
    <row r="59" spans="1:16" s="16" customFormat="1" ht="15.75">
      <c r="A59" s="17">
        <v>52</v>
      </c>
      <c r="B59" s="74">
        <v>84</v>
      </c>
      <c r="C59" s="34" t="s">
        <v>62</v>
      </c>
      <c r="D59" s="113">
        <v>3</v>
      </c>
      <c r="E59" s="113">
        <v>68</v>
      </c>
      <c r="F59" s="113">
        <v>7</v>
      </c>
      <c r="G59" s="114">
        <f t="shared" si="1"/>
        <v>78</v>
      </c>
      <c r="H59" s="24"/>
      <c r="I59" s="24"/>
      <c r="J59" s="24"/>
      <c r="K59" s="24"/>
      <c r="L59" s="24"/>
      <c r="M59" s="24"/>
      <c r="N59" s="24"/>
      <c r="O59" s="24"/>
      <c r="P59" s="24"/>
    </row>
    <row r="60" spans="1:16" s="16" customFormat="1" ht="15.75">
      <c r="A60" s="17">
        <v>53</v>
      </c>
      <c r="B60" s="74">
        <v>18</v>
      </c>
      <c r="C60" s="34" t="s">
        <v>60</v>
      </c>
      <c r="D60" s="113">
        <v>6</v>
      </c>
      <c r="E60" s="113">
        <v>68</v>
      </c>
      <c r="F60" s="113">
        <v>0</v>
      </c>
      <c r="G60" s="114">
        <f t="shared" si="1"/>
        <v>74</v>
      </c>
      <c r="H60" s="24"/>
      <c r="I60" s="24"/>
      <c r="J60" s="24"/>
      <c r="K60" s="24"/>
      <c r="L60" s="24"/>
      <c r="M60" s="24"/>
      <c r="N60" s="24"/>
      <c r="O60" s="24"/>
      <c r="P60" s="24"/>
    </row>
    <row r="61" spans="1:16" s="16" customFormat="1" ht="15.75">
      <c r="A61" s="17">
        <v>54</v>
      </c>
      <c r="B61" s="74">
        <v>92</v>
      </c>
      <c r="C61" s="35" t="s">
        <v>64</v>
      </c>
      <c r="D61" s="113">
        <v>1</v>
      </c>
      <c r="E61" s="113">
        <v>70</v>
      </c>
      <c r="F61" s="113">
        <v>0</v>
      </c>
      <c r="G61" s="114">
        <f t="shared" si="1"/>
        <v>71</v>
      </c>
      <c r="H61" s="24"/>
      <c r="I61" s="24"/>
      <c r="J61" s="24"/>
      <c r="K61" s="24"/>
      <c r="L61" s="24"/>
      <c r="M61" s="24"/>
      <c r="N61" s="24"/>
      <c r="O61" s="24"/>
      <c r="P61" s="24"/>
    </row>
    <row r="62" spans="1:16" s="16" customFormat="1" ht="15.75">
      <c r="A62" s="17">
        <v>55</v>
      </c>
      <c r="B62" s="74">
        <v>281</v>
      </c>
      <c r="C62" s="79" t="s">
        <v>202</v>
      </c>
      <c r="D62" s="113">
        <v>1</v>
      </c>
      <c r="E62" s="113">
        <v>64</v>
      </c>
      <c r="F62" s="113">
        <v>2</v>
      </c>
      <c r="G62" s="114">
        <f t="shared" si="1"/>
        <v>67</v>
      </c>
      <c r="H62" s="24"/>
      <c r="I62" s="24"/>
      <c r="J62" s="24"/>
      <c r="K62" s="24"/>
      <c r="L62" s="24"/>
      <c r="M62" s="24"/>
      <c r="N62" s="24"/>
      <c r="O62" s="24"/>
      <c r="P62" s="24"/>
    </row>
    <row r="63" spans="1:16" s="16" customFormat="1" ht="15.75">
      <c r="A63" s="17">
        <v>56</v>
      </c>
      <c r="B63" s="74">
        <v>114</v>
      </c>
      <c r="C63" s="35" t="s">
        <v>98</v>
      </c>
      <c r="D63" s="113">
        <v>6</v>
      </c>
      <c r="E63" s="113">
        <v>54</v>
      </c>
      <c r="F63" s="113">
        <v>2</v>
      </c>
      <c r="G63" s="114">
        <f t="shared" si="1"/>
        <v>62</v>
      </c>
      <c r="H63" s="24"/>
      <c r="I63" s="24"/>
      <c r="J63" s="24"/>
      <c r="K63" s="24"/>
      <c r="L63" s="24"/>
      <c r="M63" s="24"/>
      <c r="N63" s="24"/>
      <c r="O63" s="24"/>
      <c r="P63" s="24"/>
    </row>
    <row r="64" spans="1:16" s="16" customFormat="1" ht="15.75">
      <c r="A64" s="17">
        <v>57</v>
      </c>
      <c r="B64" s="74">
        <v>107</v>
      </c>
      <c r="C64" s="35" t="s">
        <v>97</v>
      </c>
      <c r="D64" s="113">
        <v>11</v>
      </c>
      <c r="E64" s="113">
        <v>45</v>
      </c>
      <c r="F64" s="113">
        <v>0</v>
      </c>
      <c r="G64" s="114">
        <f t="shared" si="1"/>
        <v>56</v>
      </c>
      <c r="H64" s="24"/>
      <c r="I64" s="24"/>
      <c r="J64" s="24"/>
      <c r="K64" s="24"/>
      <c r="L64" s="24"/>
      <c r="M64" s="24"/>
      <c r="N64" s="24"/>
      <c r="O64" s="24"/>
      <c r="P64" s="24"/>
    </row>
    <row r="65" spans="1:16" s="16" customFormat="1" ht="15.75">
      <c r="A65" s="17">
        <v>58</v>
      </c>
      <c r="B65" s="74">
        <v>174</v>
      </c>
      <c r="C65" s="78" t="s">
        <v>69</v>
      </c>
      <c r="D65" s="113">
        <v>8</v>
      </c>
      <c r="E65" s="113">
        <v>42.5</v>
      </c>
      <c r="F65" s="113">
        <v>2</v>
      </c>
      <c r="G65" s="114">
        <f t="shared" si="1"/>
        <v>52.5</v>
      </c>
      <c r="H65" s="24"/>
      <c r="I65" s="24"/>
      <c r="J65" s="24"/>
      <c r="K65" s="24"/>
      <c r="L65" s="24"/>
      <c r="M65" s="24"/>
      <c r="N65" s="24"/>
      <c r="O65" s="24"/>
      <c r="P65" s="24"/>
    </row>
    <row r="66" spans="1:16" s="16" customFormat="1" ht="15.75">
      <c r="A66" s="17">
        <v>59</v>
      </c>
      <c r="B66" s="74">
        <v>255</v>
      </c>
      <c r="C66" s="53" t="s">
        <v>134</v>
      </c>
      <c r="D66" s="113">
        <v>0</v>
      </c>
      <c r="E66" s="113">
        <v>40</v>
      </c>
      <c r="F66" s="113">
        <v>0</v>
      </c>
      <c r="G66" s="114">
        <f t="shared" si="1"/>
        <v>40</v>
      </c>
      <c r="H66" s="24"/>
      <c r="I66" s="24"/>
      <c r="J66" s="24"/>
      <c r="K66" s="24"/>
      <c r="L66" s="24"/>
      <c r="M66" s="24"/>
      <c r="N66" s="24"/>
      <c r="O66" s="24"/>
      <c r="P66" s="24"/>
    </row>
    <row r="67" spans="1:16" s="16" customFormat="1" ht="26.25">
      <c r="A67" s="17">
        <v>60</v>
      </c>
      <c r="B67" s="74">
        <v>287</v>
      </c>
      <c r="C67" s="79" t="s">
        <v>390</v>
      </c>
      <c r="D67" s="113">
        <v>0</v>
      </c>
      <c r="E67" s="113">
        <v>30</v>
      </c>
      <c r="F67" s="113">
        <v>2</v>
      </c>
      <c r="G67" s="114">
        <f t="shared" si="1"/>
        <v>32</v>
      </c>
      <c r="H67" s="24"/>
      <c r="I67" s="24"/>
      <c r="J67" s="24"/>
      <c r="K67" s="24"/>
      <c r="L67" s="24"/>
      <c r="M67" s="24"/>
      <c r="N67" s="24"/>
      <c r="O67" s="24"/>
      <c r="P67" s="24"/>
    </row>
    <row r="68" spans="1:16" s="55" customFormat="1" ht="15.75">
      <c r="B68" s="70"/>
      <c r="C68" s="56" t="s">
        <v>84</v>
      </c>
      <c r="D68" s="57">
        <f>SUM(D8:D67)</f>
        <v>22490</v>
      </c>
      <c r="E68" s="57">
        <f t="shared" ref="E68:G68" si="2">SUM(E8:E67)</f>
        <v>9124.8299999999981</v>
      </c>
      <c r="F68" s="57">
        <f t="shared" si="2"/>
        <v>2042</v>
      </c>
      <c r="G68" s="57">
        <f t="shared" si="2"/>
        <v>33656.83</v>
      </c>
      <c r="H68" s="65"/>
      <c r="I68" s="65"/>
      <c r="J68" s="65"/>
      <c r="K68" s="65"/>
      <c r="L68" s="65"/>
      <c r="M68" s="65"/>
      <c r="N68" s="65"/>
      <c r="O68" s="65"/>
      <c r="P68" s="65"/>
    </row>
    <row r="70" spans="1:16">
      <c r="D70" s="20"/>
      <c r="E70" s="20"/>
      <c r="F70" s="20"/>
      <c r="G70" s="20"/>
    </row>
    <row r="71" spans="1:16">
      <c r="D71" s="20"/>
    </row>
  </sheetData>
  <sortState ref="A9:G67">
    <sortCondition descending="1" ref="G8:G67"/>
  </sortState>
  <mergeCells count="4">
    <mergeCell ref="A6:A7"/>
    <mergeCell ref="B6:B7"/>
    <mergeCell ref="C6:C7"/>
    <mergeCell ref="D6:G6"/>
  </mergeCells>
  <printOptions horizontalCentered="1"/>
  <pageMargins left="0" right="0" top="0.196850393700787" bottom="0.59055118110236204" header="0.118110236220472" footer="0.118110236220472"/>
  <pageSetup paperSize="9" scale="81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workbookViewId="0">
      <pane xSplit="23595" topLeftCell="M1"/>
      <selection activeCell="J12" sqref="J12"/>
      <selection pane="topRight" activeCell="H121" sqref="H121:H128"/>
    </sheetView>
  </sheetViews>
  <sheetFormatPr defaultRowHeight="12.75"/>
  <cols>
    <col min="1" max="1" width="7.42578125" style="12" customWidth="1"/>
    <col min="2" max="2" width="13" style="89" customWidth="1"/>
    <col min="3" max="3" width="52" style="12" customWidth="1"/>
    <col min="4" max="4" width="13.28515625" style="12" customWidth="1"/>
    <col min="5" max="5" width="15.7109375" style="12" customWidth="1"/>
    <col min="6" max="6" width="11.7109375" style="12" customWidth="1"/>
    <col min="7" max="7" width="12.28515625" style="12" customWidth="1"/>
    <col min="8" max="8" width="20.42578125" style="12" customWidth="1"/>
    <col min="9" max="256" width="9.140625" style="12"/>
    <col min="257" max="257" width="12" style="12" customWidth="1"/>
    <col min="258" max="258" width="43.42578125" style="12" customWidth="1"/>
    <col min="259" max="259" width="18.85546875" style="12" customWidth="1"/>
    <col min="260" max="260" width="28" style="12" customWidth="1"/>
    <col min="261" max="512" width="9.140625" style="12"/>
    <col min="513" max="513" width="12" style="12" customWidth="1"/>
    <col min="514" max="514" width="43.42578125" style="12" customWidth="1"/>
    <col min="515" max="515" width="18.85546875" style="12" customWidth="1"/>
    <col min="516" max="516" width="28" style="12" customWidth="1"/>
    <col min="517" max="768" width="9.140625" style="12"/>
    <col min="769" max="769" width="12" style="12" customWidth="1"/>
    <col min="770" max="770" width="43.42578125" style="12" customWidth="1"/>
    <col min="771" max="771" width="18.85546875" style="12" customWidth="1"/>
    <col min="772" max="772" width="28" style="12" customWidth="1"/>
    <col min="773" max="1024" width="9.140625" style="12"/>
    <col min="1025" max="1025" width="12" style="12" customWidth="1"/>
    <col min="1026" max="1026" width="43.42578125" style="12" customWidth="1"/>
    <col min="1027" max="1027" width="18.85546875" style="12" customWidth="1"/>
    <col min="1028" max="1028" width="28" style="12" customWidth="1"/>
    <col min="1029" max="1280" width="9.140625" style="12"/>
    <col min="1281" max="1281" width="12" style="12" customWidth="1"/>
    <col min="1282" max="1282" width="43.42578125" style="12" customWidth="1"/>
    <col min="1283" max="1283" width="18.85546875" style="12" customWidth="1"/>
    <col min="1284" max="1284" width="28" style="12" customWidth="1"/>
    <col min="1285" max="1536" width="9.140625" style="12"/>
    <col min="1537" max="1537" width="12" style="12" customWidth="1"/>
    <col min="1538" max="1538" width="43.42578125" style="12" customWidth="1"/>
    <col min="1539" max="1539" width="18.85546875" style="12" customWidth="1"/>
    <col min="1540" max="1540" width="28" style="12" customWidth="1"/>
    <col min="1541" max="1792" width="9.140625" style="12"/>
    <col min="1793" max="1793" width="12" style="12" customWidth="1"/>
    <col min="1794" max="1794" width="43.42578125" style="12" customWidth="1"/>
    <col min="1795" max="1795" width="18.85546875" style="12" customWidth="1"/>
    <col min="1796" max="1796" width="28" style="12" customWidth="1"/>
    <col min="1797" max="2048" width="9.140625" style="12"/>
    <col min="2049" max="2049" width="12" style="12" customWidth="1"/>
    <col min="2050" max="2050" width="43.42578125" style="12" customWidth="1"/>
    <col min="2051" max="2051" width="18.85546875" style="12" customWidth="1"/>
    <col min="2052" max="2052" width="28" style="12" customWidth="1"/>
    <col min="2053" max="2304" width="9.140625" style="12"/>
    <col min="2305" max="2305" width="12" style="12" customWidth="1"/>
    <col min="2306" max="2306" width="43.42578125" style="12" customWidth="1"/>
    <col min="2307" max="2307" width="18.85546875" style="12" customWidth="1"/>
    <col min="2308" max="2308" width="28" style="12" customWidth="1"/>
    <col min="2309" max="2560" width="9.140625" style="12"/>
    <col min="2561" max="2561" width="12" style="12" customWidth="1"/>
    <col min="2562" max="2562" width="43.42578125" style="12" customWidth="1"/>
    <col min="2563" max="2563" width="18.85546875" style="12" customWidth="1"/>
    <col min="2564" max="2564" width="28" style="12" customWidth="1"/>
    <col min="2565" max="2816" width="9.140625" style="12"/>
    <col min="2817" max="2817" width="12" style="12" customWidth="1"/>
    <col min="2818" max="2818" width="43.42578125" style="12" customWidth="1"/>
    <col min="2819" max="2819" width="18.85546875" style="12" customWidth="1"/>
    <col min="2820" max="2820" width="28" style="12" customWidth="1"/>
    <col min="2821" max="3072" width="9.140625" style="12"/>
    <col min="3073" max="3073" width="12" style="12" customWidth="1"/>
    <col min="3074" max="3074" width="43.42578125" style="12" customWidth="1"/>
    <col min="3075" max="3075" width="18.85546875" style="12" customWidth="1"/>
    <col min="3076" max="3076" width="28" style="12" customWidth="1"/>
    <col min="3077" max="3328" width="9.140625" style="12"/>
    <col min="3329" max="3329" width="12" style="12" customWidth="1"/>
    <col min="3330" max="3330" width="43.42578125" style="12" customWidth="1"/>
    <col min="3331" max="3331" width="18.85546875" style="12" customWidth="1"/>
    <col min="3332" max="3332" width="28" style="12" customWidth="1"/>
    <col min="3333" max="3584" width="9.140625" style="12"/>
    <col min="3585" max="3585" width="12" style="12" customWidth="1"/>
    <col min="3586" max="3586" width="43.42578125" style="12" customWidth="1"/>
    <col min="3587" max="3587" width="18.85546875" style="12" customWidth="1"/>
    <col min="3588" max="3588" width="28" style="12" customWidth="1"/>
    <col min="3589" max="3840" width="9.140625" style="12"/>
    <col min="3841" max="3841" width="12" style="12" customWidth="1"/>
    <col min="3842" max="3842" width="43.42578125" style="12" customWidth="1"/>
    <col min="3843" max="3843" width="18.85546875" style="12" customWidth="1"/>
    <col min="3844" max="3844" width="28" style="12" customWidth="1"/>
    <col min="3845" max="4096" width="9.140625" style="12"/>
    <col min="4097" max="4097" width="12" style="12" customWidth="1"/>
    <col min="4098" max="4098" width="43.42578125" style="12" customWidth="1"/>
    <col min="4099" max="4099" width="18.85546875" style="12" customWidth="1"/>
    <col min="4100" max="4100" width="28" style="12" customWidth="1"/>
    <col min="4101" max="4352" width="9.140625" style="12"/>
    <col min="4353" max="4353" width="12" style="12" customWidth="1"/>
    <col min="4354" max="4354" width="43.42578125" style="12" customWidth="1"/>
    <col min="4355" max="4355" width="18.85546875" style="12" customWidth="1"/>
    <col min="4356" max="4356" width="28" style="12" customWidth="1"/>
    <col min="4357" max="4608" width="9.140625" style="12"/>
    <col min="4609" max="4609" width="12" style="12" customWidth="1"/>
    <col min="4610" max="4610" width="43.42578125" style="12" customWidth="1"/>
    <col min="4611" max="4611" width="18.85546875" style="12" customWidth="1"/>
    <col min="4612" max="4612" width="28" style="12" customWidth="1"/>
    <col min="4613" max="4864" width="9.140625" style="12"/>
    <col min="4865" max="4865" width="12" style="12" customWidth="1"/>
    <col min="4866" max="4866" width="43.42578125" style="12" customWidth="1"/>
    <col min="4867" max="4867" width="18.85546875" style="12" customWidth="1"/>
    <col min="4868" max="4868" width="28" style="12" customWidth="1"/>
    <col min="4869" max="5120" width="9.140625" style="12"/>
    <col min="5121" max="5121" width="12" style="12" customWidth="1"/>
    <col min="5122" max="5122" width="43.42578125" style="12" customWidth="1"/>
    <col min="5123" max="5123" width="18.85546875" style="12" customWidth="1"/>
    <col min="5124" max="5124" width="28" style="12" customWidth="1"/>
    <col min="5125" max="5376" width="9.140625" style="12"/>
    <col min="5377" max="5377" width="12" style="12" customWidth="1"/>
    <col min="5378" max="5378" width="43.42578125" style="12" customWidth="1"/>
    <col min="5379" max="5379" width="18.85546875" style="12" customWidth="1"/>
    <col min="5380" max="5380" width="28" style="12" customWidth="1"/>
    <col min="5381" max="5632" width="9.140625" style="12"/>
    <col min="5633" max="5633" width="12" style="12" customWidth="1"/>
    <col min="5634" max="5634" width="43.42578125" style="12" customWidth="1"/>
    <col min="5635" max="5635" width="18.85546875" style="12" customWidth="1"/>
    <col min="5636" max="5636" width="28" style="12" customWidth="1"/>
    <col min="5637" max="5888" width="9.140625" style="12"/>
    <col min="5889" max="5889" width="12" style="12" customWidth="1"/>
    <col min="5890" max="5890" width="43.42578125" style="12" customWidth="1"/>
    <col min="5891" max="5891" width="18.85546875" style="12" customWidth="1"/>
    <col min="5892" max="5892" width="28" style="12" customWidth="1"/>
    <col min="5893" max="6144" width="9.140625" style="12"/>
    <col min="6145" max="6145" width="12" style="12" customWidth="1"/>
    <col min="6146" max="6146" width="43.42578125" style="12" customWidth="1"/>
    <col min="6147" max="6147" width="18.85546875" style="12" customWidth="1"/>
    <col min="6148" max="6148" width="28" style="12" customWidth="1"/>
    <col min="6149" max="6400" width="9.140625" style="12"/>
    <col min="6401" max="6401" width="12" style="12" customWidth="1"/>
    <col min="6402" max="6402" width="43.42578125" style="12" customWidth="1"/>
    <col min="6403" max="6403" width="18.85546875" style="12" customWidth="1"/>
    <col min="6404" max="6404" width="28" style="12" customWidth="1"/>
    <col min="6405" max="6656" width="9.140625" style="12"/>
    <col min="6657" max="6657" width="12" style="12" customWidth="1"/>
    <col min="6658" max="6658" width="43.42578125" style="12" customWidth="1"/>
    <col min="6659" max="6659" width="18.85546875" style="12" customWidth="1"/>
    <col min="6660" max="6660" width="28" style="12" customWidth="1"/>
    <col min="6661" max="6912" width="9.140625" style="12"/>
    <col min="6913" max="6913" width="12" style="12" customWidth="1"/>
    <col min="6914" max="6914" width="43.42578125" style="12" customWidth="1"/>
    <col min="6915" max="6915" width="18.85546875" style="12" customWidth="1"/>
    <col min="6916" max="6916" width="28" style="12" customWidth="1"/>
    <col min="6917" max="7168" width="9.140625" style="12"/>
    <col min="7169" max="7169" width="12" style="12" customWidth="1"/>
    <col min="7170" max="7170" width="43.42578125" style="12" customWidth="1"/>
    <col min="7171" max="7171" width="18.85546875" style="12" customWidth="1"/>
    <col min="7172" max="7172" width="28" style="12" customWidth="1"/>
    <col min="7173" max="7424" width="9.140625" style="12"/>
    <col min="7425" max="7425" width="12" style="12" customWidth="1"/>
    <col min="7426" max="7426" width="43.42578125" style="12" customWidth="1"/>
    <col min="7427" max="7427" width="18.85546875" style="12" customWidth="1"/>
    <col min="7428" max="7428" width="28" style="12" customWidth="1"/>
    <col min="7429" max="7680" width="9.140625" style="12"/>
    <col min="7681" max="7681" width="12" style="12" customWidth="1"/>
    <col min="7682" max="7682" width="43.42578125" style="12" customWidth="1"/>
    <col min="7683" max="7683" width="18.85546875" style="12" customWidth="1"/>
    <col min="7684" max="7684" width="28" style="12" customWidth="1"/>
    <col min="7685" max="7936" width="9.140625" style="12"/>
    <col min="7937" max="7937" width="12" style="12" customWidth="1"/>
    <col min="7938" max="7938" width="43.42578125" style="12" customWidth="1"/>
    <col min="7939" max="7939" width="18.85546875" style="12" customWidth="1"/>
    <col min="7940" max="7940" width="28" style="12" customWidth="1"/>
    <col min="7941" max="8192" width="9.140625" style="12"/>
    <col min="8193" max="8193" width="12" style="12" customWidth="1"/>
    <col min="8194" max="8194" width="43.42578125" style="12" customWidth="1"/>
    <col min="8195" max="8195" width="18.85546875" style="12" customWidth="1"/>
    <col min="8196" max="8196" width="28" style="12" customWidth="1"/>
    <col min="8197" max="8448" width="9.140625" style="12"/>
    <col min="8449" max="8449" width="12" style="12" customWidth="1"/>
    <col min="8450" max="8450" width="43.42578125" style="12" customWidth="1"/>
    <col min="8451" max="8451" width="18.85546875" style="12" customWidth="1"/>
    <col min="8452" max="8452" width="28" style="12" customWidth="1"/>
    <col min="8453" max="8704" width="9.140625" style="12"/>
    <col min="8705" max="8705" width="12" style="12" customWidth="1"/>
    <col min="8706" max="8706" width="43.42578125" style="12" customWidth="1"/>
    <col min="8707" max="8707" width="18.85546875" style="12" customWidth="1"/>
    <col min="8708" max="8708" width="28" style="12" customWidth="1"/>
    <col min="8709" max="8960" width="9.140625" style="12"/>
    <col min="8961" max="8961" width="12" style="12" customWidth="1"/>
    <col min="8962" max="8962" width="43.42578125" style="12" customWidth="1"/>
    <col min="8963" max="8963" width="18.85546875" style="12" customWidth="1"/>
    <col min="8964" max="8964" width="28" style="12" customWidth="1"/>
    <col min="8965" max="9216" width="9.140625" style="12"/>
    <col min="9217" max="9217" width="12" style="12" customWidth="1"/>
    <col min="9218" max="9218" width="43.42578125" style="12" customWidth="1"/>
    <col min="9219" max="9219" width="18.85546875" style="12" customWidth="1"/>
    <col min="9220" max="9220" width="28" style="12" customWidth="1"/>
    <col min="9221" max="9472" width="9.140625" style="12"/>
    <col min="9473" max="9473" width="12" style="12" customWidth="1"/>
    <col min="9474" max="9474" width="43.42578125" style="12" customWidth="1"/>
    <col min="9475" max="9475" width="18.85546875" style="12" customWidth="1"/>
    <col min="9476" max="9476" width="28" style="12" customWidth="1"/>
    <col min="9477" max="9728" width="9.140625" style="12"/>
    <col min="9729" max="9729" width="12" style="12" customWidth="1"/>
    <col min="9730" max="9730" width="43.42578125" style="12" customWidth="1"/>
    <col min="9731" max="9731" width="18.85546875" style="12" customWidth="1"/>
    <col min="9732" max="9732" width="28" style="12" customWidth="1"/>
    <col min="9733" max="9984" width="9.140625" style="12"/>
    <col min="9985" max="9985" width="12" style="12" customWidth="1"/>
    <col min="9986" max="9986" width="43.42578125" style="12" customWidth="1"/>
    <col min="9987" max="9987" width="18.85546875" style="12" customWidth="1"/>
    <col min="9988" max="9988" width="28" style="12" customWidth="1"/>
    <col min="9989" max="10240" width="9.140625" style="12"/>
    <col min="10241" max="10241" width="12" style="12" customWidth="1"/>
    <col min="10242" max="10242" width="43.42578125" style="12" customWidth="1"/>
    <col min="10243" max="10243" width="18.85546875" style="12" customWidth="1"/>
    <col min="10244" max="10244" width="28" style="12" customWidth="1"/>
    <col min="10245" max="10496" width="9.140625" style="12"/>
    <col min="10497" max="10497" width="12" style="12" customWidth="1"/>
    <col min="10498" max="10498" width="43.42578125" style="12" customWidth="1"/>
    <col min="10499" max="10499" width="18.85546875" style="12" customWidth="1"/>
    <col min="10500" max="10500" width="28" style="12" customWidth="1"/>
    <col min="10501" max="10752" width="9.140625" style="12"/>
    <col min="10753" max="10753" width="12" style="12" customWidth="1"/>
    <col min="10754" max="10754" width="43.42578125" style="12" customWidth="1"/>
    <col min="10755" max="10755" width="18.85546875" style="12" customWidth="1"/>
    <col min="10756" max="10756" width="28" style="12" customWidth="1"/>
    <col min="10757" max="11008" width="9.140625" style="12"/>
    <col min="11009" max="11009" width="12" style="12" customWidth="1"/>
    <col min="11010" max="11010" width="43.42578125" style="12" customWidth="1"/>
    <col min="11011" max="11011" width="18.85546875" style="12" customWidth="1"/>
    <col min="11012" max="11012" width="28" style="12" customWidth="1"/>
    <col min="11013" max="11264" width="9.140625" style="12"/>
    <col min="11265" max="11265" width="12" style="12" customWidth="1"/>
    <col min="11266" max="11266" width="43.42578125" style="12" customWidth="1"/>
    <col min="11267" max="11267" width="18.85546875" style="12" customWidth="1"/>
    <col min="11268" max="11268" width="28" style="12" customWidth="1"/>
    <col min="11269" max="11520" width="9.140625" style="12"/>
    <col min="11521" max="11521" width="12" style="12" customWidth="1"/>
    <col min="11522" max="11522" width="43.42578125" style="12" customWidth="1"/>
    <col min="11523" max="11523" width="18.85546875" style="12" customWidth="1"/>
    <col min="11524" max="11524" width="28" style="12" customWidth="1"/>
    <col min="11525" max="11776" width="9.140625" style="12"/>
    <col min="11777" max="11777" width="12" style="12" customWidth="1"/>
    <col min="11778" max="11778" width="43.42578125" style="12" customWidth="1"/>
    <col min="11779" max="11779" width="18.85546875" style="12" customWidth="1"/>
    <col min="11780" max="11780" width="28" style="12" customWidth="1"/>
    <col min="11781" max="12032" width="9.140625" style="12"/>
    <col min="12033" max="12033" width="12" style="12" customWidth="1"/>
    <col min="12034" max="12034" width="43.42578125" style="12" customWidth="1"/>
    <col min="12035" max="12035" width="18.85546875" style="12" customWidth="1"/>
    <col min="12036" max="12036" width="28" style="12" customWidth="1"/>
    <col min="12037" max="12288" width="9.140625" style="12"/>
    <col min="12289" max="12289" width="12" style="12" customWidth="1"/>
    <col min="12290" max="12290" width="43.42578125" style="12" customWidth="1"/>
    <col min="12291" max="12291" width="18.85546875" style="12" customWidth="1"/>
    <col min="12292" max="12292" width="28" style="12" customWidth="1"/>
    <col min="12293" max="12544" width="9.140625" style="12"/>
    <col min="12545" max="12545" width="12" style="12" customWidth="1"/>
    <col min="12546" max="12546" width="43.42578125" style="12" customWidth="1"/>
    <col min="12547" max="12547" width="18.85546875" style="12" customWidth="1"/>
    <col min="12548" max="12548" width="28" style="12" customWidth="1"/>
    <col min="12549" max="12800" width="9.140625" style="12"/>
    <col min="12801" max="12801" width="12" style="12" customWidth="1"/>
    <col min="12802" max="12802" width="43.42578125" style="12" customWidth="1"/>
    <col min="12803" max="12803" width="18.85546875" style="12" customWidth="1"/>
    <col min="12804" max="12804" width="28" style="12" customWidth="1"/>
    <col min="12805" max="13056" width="9.140625" style="12"/>
    <col min="13057" max="13057" width="12" style="12" customWidth="1"/>
    <col min="13058" max="13058" width="43.42578125" style="12" customWidth="1"/>
    <col min="13059" max="13059" width="18.85546875" style="12" customWidth="1"/>
    <col min="13060" max="13060" width="28" style="12" customWidth="1"/>
    <col min="13061" max="13312" width="9.140625" style="12"/>
    <col min="13313" max="13313" width="12" style="12" customWidth="1"/>
    <col min="13314" max="13314" width="43.42578125" style="12" customWidth="1"/>
    <col min="13315" max="13315" width="18.85546875" style="12" customWidth="1"/>
    <col min="13316" max="13316" width="28" style="12" customWidth="1"/>
    <col min="13317" max="13568" width="9.140625" style="12"/>
    <col min="13569" max="13569" width="12" style="12" customWidth="1"/>
    <col min="13570" max="13570" width="43.42578125" style="12" customWidth="1"/>
    <col min="13571" max="13571" width="18.85546875" style="12" customWidth="1"/>
    <col min="13572" max="13572" width="28" style="12" customWidth="1"/>
    <col min="13573" max="13824" width="9.140625" style="12"/>
    <col min="13825" max="13825" width="12" style="12" customWidth="1"/>
    <col min="13826" max="13826" width="43.42578125" style="12" customWidth="1"/>
    <col min="13827" max="13827" width="18.85546875" style="12" customWidth="1"/>
    <col min="13828" max="13828" width="28" style="12" customWidth="1"/>
    <col min="13829" max="14080" width="9.140625" style="12"/>
    <col min="14081" max="14081" width="12" style="12" customWidth="1"/>
    <col min="14082" max="14082" width="43.42578125" style="12" customWidth="1"/>
    <col min="14083" max="14083" width="18.85546875" style="12" customWidth="1"/>
    <col min="14084" max="14084" width="28" style="12" customWidth="1"/>
    <col min="14085" max="14336" width="9.140625" style="12"/>
    <col min="14337" max="14337" width="12" style="12" customWidth="1"/>
    <col min="14338" max="14338" width="43.42578125" style="12" customWidth="1"/>
    <col min="14339" max="14339" width="18.85546875" style="12" customWidth="1"/>
    <col min="14340" max="14340" width="28" style="12" customWidth="1"/>
    <col min="14341" max="14592" width="9.140625" style="12"/>
    <col min="14593" max="14593" width="12" style="12" customWidth="1"/>
    <col min="14594" max="14594" width="43.42578125" style="12" customWidth="1"/>
    <col min="14595" max="14595" width="18.85546875" style="12" customWidth="1"/>
    <col min="14596" max="14596" width="28" style="12" customWidth="1"/>
    <col min="14597" max="14848" width="9.140625" style="12"/>
    <col min="14849" max="14849" width="12" style="12" customWidth="1"/>
    <col min="14850" max="14850" width="43.42578125" style="12" customWidth="1"/>
    <col min="14851" max="14851" width="18.85546875" style="12" customWidth="1"/>
    <col min="14852" max="14852" width="28" style="12" customWidth="1"/>
    <col min="14853" max="15104" width="9.140625" style="12"/>
    <col min="15105" max="15105" width="12" style="12" customWidth="1"/>
    <col min="15106" max="15106" width="43.42578125" style="12" customWidth="1"/>
    <col min="15107" max="15107" width="18.85546875" style="12" customWidth="1"/>
    <col min="15108" max="15108" width="28" style="12" customWidth="1"/>
    <col min="15109" max="15360" width="9.140625" style="12"/>
    <col min="15361" max="15361" width="12" style="12" customWidth="1"/>
    <col min="15362" max="15362" width="43.42578125" style="12" customWidth="1"/>
    <col min="15363" max="15363" width="18.85546875" style="12" customWidth="1"/>
    <col min="15364" max="15364" width="28" style="12" customWidth="1"/>
    <col min="15365" max="15616" width="9.140625" style="12"/>
    <col min="15617" max="15617" width="12" style="12" customWidth="1"/>
    <col min="15618" max="15618" width="43.42578125" style="12" customWidth="1"/>
    <col min="15619" max="15619" width="18.85546875" style="12" customWidth="1"/>
    <col min="15620" max="15620" width="28" style="12" customWidth="1"/>
    <col min="15621" max="15872" width="9.140625" style="12"/>
    <col min="15873" max="15873" width="12" style="12" customWidth="1"/>
    <col min="15874" max="15874" width="43.42578125" style="12" customWidth="1"/>
    <col min="15875" max="15875" width="18.85546875" style="12" customWidth="1"/>
    <col min="15876" max="15876" width="28" style="12" customWidth="1"/>
    <col min="15877" max="16128" width="9.140625" style="12"/>
    <col min="16129" max="16129" width="12" style="12" customWidth="1"/>
    <col min="16130" max="16130" width="43.42578125" style="12" customWidth="1"/>
    <col min="16131" max="16131" width="18.85546875" style="12" customWidth="1"/>
    <col min="16132" max="16132" width="28" style="12" customWidth="1"/>
    <col min="16133" max="16384" width="9.140625" style="12"/>
  </cols>
  <sheetData>
    <row r="2" spans="1:8">
      <c r="B2" s="88"/>
    </row>
    <row r="3" spans="1:8">
      <c r="A3" s="64"/>
      <c r="B3" s="88"/>
      <c r="C3" s="64" t="s">
        <v>193</v>
      </c>
    </row>
    <row r="4" spans="1:8">
      <c r="C4" s="21" t="s">
        <v>386</v>
      </c>
    </row>
    <row r="5" spans="1:8">
      <c r="A5" s="130" t="s">
        <v>54</v>
      </c>
      <c r="B5" s="122" t="s">
        <v>194</v>
      </c>
      <c r="C5" s="121" t="s">
        <v>195</v>
      </c>
      <c r="D5" s="122" t="s">
        <v>110</v>
      </c>
      <c r="E5" s="122"/>
      <c r="F5" s="122"/>
      <c r="G5" s="122"/>
      <c r="H5" s="4"/>
    </row>
    <row r="6" spans="1:8" ht="38.25">
      <c r="A6" s="130"/>
      <c r="B6" s="122"/>
      <c r="C6" s="121"/>
      <c r="D6" s="37" t="s">
        <v>57</v>
      </c>
      <c r="E6" s="37" t="s">
        <v>58</v>
      </c>
      <c r="F6" s="37" t="s">
        <v>59</v>
      </c>
      <c r="G6" s="75" t="s">
        <v>70</v>
      </c>
      <c r="H6" s="37" t="s">
        <v>89</v>
      </c>
    </row>
    <row r="7" spans="1:8" s="5" customFormat="1" ht="15">
      <c r="A7" s="4">
        <v>1</v>
      </c>
      <c r="B7" s="110" t="s">
        <v>282</v>
      </c>
      <c r="C7" s="110" t="s">
        <v>283</v>
      </c>
      <c r="D7" s="110">
        <f>31.5+30.5+31.5</f>
        <v>93.5</v>
      </c>
      <c r="E7" s="110">
        <v>40.71</v>
      </c>
      <c r="F7" s="110">
        <v>17</v>
      </c>
      <c r="G7" s="32">
        <f t="shared" ref="G7:G38" si="0">SUM(D7:F7)</f>
        <v>151.21</v>
      </c>
      <c r="H7" s="33"/>
    </row>
    <row r="8" spans="1:8" s="5" customFormat="1" ht="15">
      <c r="A8" s="4">
        <v>2</v>
      </c>
      <c r="B8" s="110" t="s">
        <v>270</v>
      </c>
      <c r="C8" s="110" t="s">
        <v>271</v>
      </c>
      <c r="D8" s="110">
        <v>50.5</v>
      </c>
      <c r="E8" s="110">
        <v>33.83</v>
      </c>
      <c r="F8" s="110">
        <v>41</v>
      </c>
      <c r="G8" s="32">
        <f t="shared" si="0"/>
        <v>125.33</v>
      </c>
      <c r="H8" s="33"/>
    </row>
    <row r="9" spans="1:8" s="5" customFormat="1" ht="15">
      <c r="A9" s="4">
        <v>3</v>
      </c>
      <c r="B9" s="110" t="s">
        <v>268</v>
      </c>
      <c r="C9" s="110" t="s">
        <v>269</v>
      </c>
      <c r="D9" s="110">
        <v>54.5</v>
      </c>
      <c r="E9" s="110">
        <v>35.04</v>
      </c>
      <c r="F9" s="110">
        <v>29</v>
      </c>
      <c r="G9" s="32">
        <f t="shared" si="0"/>
        <v>118.53999999999999</v>
      </c>
      <c r="H9" s="33"/>
    </row>
    <row r="10" spans="1:8" s="5" customFormat="1" ht="15">
      <c r="A10" s="4">
        <v>4</v>
      </c>
      <c r="B10" s="110" t="s">
        <v>259</v>
      </c>
      <c r="C10" s="110" t="s">
        <v>9</v>
      </c>
      <c r="D10" s="110">
        <f>29.5*2</f>
        <v>59</v>
      </c>
      <c r="E10" s="110">
        <v>29.21</v>
      </c>
      <c r="F10" s="110">
        <v>17</v>
      </c>
      <c r="G10" s="32">
        <f t="shared" si="0"/>
        <v>105.21000000000001</v>
      </c>
      <c r="H10" s="33"/>
    </row>
    <row r="11" spans="1:8" s="5" customFormat="1" ht="15">
      <c r="A11" s="4">
        <v>5</v>
      </c>
      <c r="B11" s="110" t="s">
        <v>356</v>
      </c>
      <c r="C11" s="110" t="s">
        <v>357</v>
      </c>
      <c r="D11" s="110">
        <v>59</v>
      </c>
      <c r="E11" s="110">
        <v>25.96</v>
      </c>
      <c r="F11" s="110">
        <v>17</v>
      </c>
      <c r="G11" s="32">
        <f t="shared" si="0"/>
        <v>101.96000000000001</v>
      </c>
      <c r="H11" s="33"/>
    </row>
    <row r="12" spans="1:8" s="5" customFormat="1" ht="15">
      <c r="A12" s="4">
        <v>6</v>
      </c>
      <c r="B12" s="110" t="s">
        <v>362</v>
      </c>
      <c r="C12" s="110" t="s">
        <v>363</v>
      </c>
      <c r="D12" s="110">
        <v>63</v>
      </c>
      <c r="E12" s="110">
        <v>18</v>
      </c>
      <c r="F12" s="110">
        <v>7</v>
      </c>
      <c r="G12" s="32">
        <f t="shared" si="0"/>
        <v>88</v>
      </c>
      <c r="H12" s="33"/>
    </row>
    <row r="13" spans="1:8" s="5" customFormat="1" ht="15">
      <c r="A13" s="4">
        <v>7</v>
      </c>
      <c r="B13" s="110" t="s">
        <v>293</v>
      </c>
      <c r="C13" s="110" t="s">
        <v>228</v>
      </c>
      <c r="D13" s="110">
        <v>57.5</v>
      </c>
      <c r="E13" s="110">
        <v>12.71</v>
      </c>
      <c r="F13" s="110">
        <v>17</v>
      </c>
      <c r="G13" s="32">
        <f t="shared" si="0"/>
        <v>87.210000000000008</v>
      </c>
      <c r="H13" s="33"/>
    </row>
    <row r="14" spans="1:8" s="5" customFormat="1" ht="15">
      <c r="A14" s="4">
        <v>8</v>
      </c>
      <c r="B14" s="110" t="s">
        <v>338</v>
      </c>
      <c r="C14" s="110" t="s">
        <v>339</v>
      </c>
      <c r="D14" s="110">
        <v>31.5</v>
      </c>
      <c r="E14" s="110">
        <v>29.73</v>
      </c>
      <c r="F14" s="110">
        <v>24</v>
      </c>
      <c r="G14" s="32">
        <f t="shared" si="0"/>
        <v>85.23</v>
      </c>
      <c r="H14" s="33"/>
    </row>
    <row r="15" spans="1:8" s="5" customFormat="1" ht="15">
      <c r="A15" s="4">
        <v>9</v>
      </c>
      <c r="B15" s="110" t="s">
        <v>306</v>
      </c>
      <c r="C15" s="110" t="s">
        <v>307</v>
      </c>
      <c r="D15" s="110">
        <f>31.5+25</f>
        <v>56.5</v>
      </c>
      <c r="E15" s="110">
        <v>26.57</v>
      </c>
      <c r="F15" s="110">
        <v>2</v>
      </c>
      <c r="G15" s="32">
        <f t="shared" si="0"/>
        <v>85.07</v>
      </c>
      <c r="H15" s="33"/>
    </row>
    <row r="16" spans="1:8" s="5" customFormat="1" ht="15">
      <c r="A16" s="4">
        <v>10</v>
      </c>
      <c r="B16" s="110" t="s">
        <v>260</v>
      </c>
      <c r="C16" s="110" t="s">
        <v>261</v>
      </c>
      <c r="D16" s="110">
        <f>31.5*2</f>
        <v>63</v>
      </c>
      <c r="E16" s="110">
        <v>9.86</v>
      </c>
      <c r="F16" s="110">
        <v>7</v>
      </c>
      <c r="G16" s="32">
        <f t="shared" si="0"/>
        <v>79.86</v>
      </c>
      <c r="H16" s="33"/>
    </row>
    <row r="17" spans="1:8" s="5" customFormat="1" ht="15">
      <c r="A17" s="4">
        <v>11</v>
      </c>
      <c r="B17" s="110" t="s">
        <v>201</v>
      </c>
      <c r="C17" s="110" t="s">
        <v>383</v>
      </c>
      <c r="D17" s="110">
        <f>31.5+31.5</f>
        <v>63</v>
      </c>
      <c r="E17" s="110">
        <v>4.29</v>
      </c>
      <c r="F17" s="110">
        <v>7</v>
      </c>
      <c r="G17" s="32">
        <f t="shared" si="0"/>
        <v>74.290000000000006</v>
      </c>
      <c r="H17" s="33"/>
    </row>
    <row r="18" spans="1:8" s="5" customFormat="1" ht="15">
      <c r="A18" s="4">
        <v>12</v>
      </c>
      <c r="B18" s="110" t="s">
        <v>284</v>
      </c>
      <c r="C18" s="110" t="s">
        <v>27</v>
      </c>
      <c r="D18" s="110">
        <f>31.5+19</f>
        <v>50.5</v>
      </c>
      <c r="E18" s="110">
        <v>6.29</v>
      </c>
      <c r="F18" s="110">
        <v>7</v>
      </c>
      <c r="G18" s="32">
        <f t="shared" si="0"/>
        <v>63.79</v>
      </c>
      <c r="H18" s="33"/>
    </row>
    <row r="19" spans="1:8" s="5" customFormat="1" ht="15">
      <c r="A19" s="4">
        <v>13</v>
      </c>
      <c r="B19" s="110" t="s">
        <v>248</v>
      </c>
      <c r="C19" s="110" t="s">
        <v>249</v>
      </c>
      <c r="D19" s="110">
        <v>31.5</v>
      </c>
      <c r="E19" s="110">
        <v>18.86</v>
      </c>
      <c r="F19" s="110">
        <v>12</v>
      </c>
      <c r="G19" s="32">
        <f t="shared" si="0"/>
        <v>62.36</v>
      </c>
      <c r="H19" s="33"/>
    </row>
    <row r="20" spans="1:8" s="5" customFormat="1" ht="15">
      <c r="A20" s="4">
        <v>14</v>
      </c>
      <c r="B20" s="110" t="s">
        <v>250</v>
      </c>
      <c r="C20" s="110" t="s">
        <v>251</v>
      </c>
      <c r="D20" s="110">
        <v>28</v>
      </c>
      <c r="E20" s="110">
        <v>22</v>
      </c>
      <c r="F20" s="110">
        <v>12</v>
      </c>
      <c r="G20" s="32">
        <f t="shared" si="0"/>
        <v>62</v>
      </c>
      <c r="H20" s="33"/>
    </row>
    <row r="21" spans="1:8" s="5" customFormat="1" ht="15">
      <c r="A21" s="4">
        <v>15</v>
      </c>
      <c r="B21" s="110" t="s">
        <v>315</v>
      </c>
      <c r="C21" s="110" t="s">
        <v>316</v>
      </c>
      <c r="D21" s="110">
        <v>28.5</v>
      </c>
      <c r="E21" s="110">
        <v>9.43</v>
      </c>
      <c r="F21" s="110">
        <v>17</v>
      </c>
      <c r="G21" s="32">
        <f t="shared" si="0"/>
        <v>54.93</v>
      </c>
      <c r="H21" s="33"/>
    </row>
    <row r="22" spans="1:8" s="5" customFormat="1" ht="15">
      <c r="A22" s="4">
        <v>16</v>
      </c>
      <c r="B22" s="110" t="s">
        <v>334</v>
      </c>
      <c r="C22" s="110" t="s">
        <v>335</v>
      </c>
      <c r="D22" s="110">
        <v>30</v>
      </c>
      <c r="E22" s="110">
        <v>6.29</v>
      </c>
      <c r="F22" s="110">
        <v>17</v>
      </c>
      <c r="G22" s="32">
        <f t="shared" si="0"/>
        <v>53.29</v>
      </c>
      <c r="H22" s="33"/>
    </row>
    <row r="23" spans="1:8" s="5" customFormat="1" ht="15">
      <c r="A23" s="4">
        <v>17</v>
      </c>
      <c r="B23" s="110" t="s">
        <v>294</v>
      </c>
      <c r="C23" s="110" t="s">
        <v>295</v>
      </c>
      <c r="D23" s="110">
        <v>29.5</v>
      </c>
      <c r="E23" s="110">
        <v>5.36</v>
      </c>
      <c r="F23" s="110">
        <v>17</v>
      </c>
      <c r="G23" s="32">
        <f t="shared" si="0"/>
        <v>51.86</v>
      </c>
      <c r="H23" s="33"/>
    </row>
    <row r="24" spans="1:8" s="5" customFormat="1" ht="15">
      <c r="A24" s="4">
        <v>18</v>
      </c>
      <c r="B24" s="110" t="s">
        <v>329</v>
      </c>
      <c r="C24" s="110" t="s">
        <v>330</v>
      </c>
      <c r="D24" s="110">
        <v>31.5</v>
      </c>
      <c r="E24" s="110">
        <v>16.71</v>
      </c>
      <c r="F24" s="110">
        <v>2</v>
      </c>
      <c r="G24" s="32">
        <f t="shared" si="0"/>
        <v>50.21</v>
      </c>
      <c r="H24" s="33"/>
    </row>
    <row r="25" spans="1:8" s="5" customFormat="1" ht="15">
      <c r="A25" s="4">
        <v>19</v>
      </c>
      <c r="B25" s="110" t="s">
        <v>350</v>
      </c>
      <c r="C25" s="110" t="s">
        <v>351</v>
      </c>
      <c r="D25" s="110">
        <v>31.5</v>
      </c>
      <c r="E25" s="110">
        <v>15.43</v>
      </c>
      <c r="F25" s="110">
        <v>2</v>
      </c>
      <c r="G25" s="32">
        <f t="shared" si="0"/>
        <v>48.93</v>
      </c>
      <c r="H25" s="33"/>
    </row>
    <row r="26" spans="1:8" s="5" customFormat="1" ht="15">
      <c r="A26" s="4">
        <v>20</v>
      </c>
      <c r="B26" s="110" t="s">
        <v>322</v>
      </c>
      <c r="C26" s="110" t="s">
        <v>199</v>
      </c>
      <c r="D26" s="110">
        <v>30.5</v>
      </c>
      <c r="E26" s="110">
        <v>16.36</v>
      </c>
      <c r="F26" s="110">
        <v>2</v>
      </c>
      <c r="G26" s="32">
        <f t="shared" si="0"/>
        <v>48.86</v>
      </c>
      <c r="H26" s="33"/>
    </row>
    <row r="27" spans="1:8" s="5" customFormat="1" ht="15">
      <c r="A27" s="4">
        <v>21</v>
      </c>
      <c r="B27" s="110" t="s">
        <v>358</v>
      </c>
      <c r="C27" s="110" t="s">
        <v>359</v>
      </c>
      <c r="D27" s="110">
        <v>31.5</v>
      </c>
      <c r="E27" s="110">
        <v>9.7100000000000009</v>
      </c>
      <c r="F27" s="110">
        <v>7</v>
      </c>
      <c r="G27" s="32">
        <f t="shared" si="0"/>
        <v>48.21</v>
      </c>
      <c r="H27" s="33"/>
    </row>
    <row r="28" spans="1:8" s="5" customFormat="1" ht="15">
      <c r="A28" s="4">
        <v>22</v>
      </c>
      <c r="B28" s="110" t="s">
        <v>325</v>
      </c>
      <c r="C28" s="110" t="s">
        <v>326</v>
      </c>
      <c r="D28" s="110">
        <v>26</v>
      </c>
      <c r="E28" s="110">
        <v>5</v>
      </c>
      <c r="F28" s="110">
        <v>17</v>
      </c>
      <c r="G28" s="32">
        <f t="shared" si="0"/>
        <v>48</v>
      </c>
      <c r="H28" s="33"/>
    </row>
    <row r="29" spans="1:8" s="5" customFormat="1" ht="15">
      <c r="A29" s="4">
        <v>23</v>
      </c>
      <c r="B29" s="110" t="s">
        <v>308</v>
      </c>
      <c r="C29" s="110" t="s">
        <v>197</v>
      </c>
      <c r="D29" s="110">
        <v>30.5</v>
      </c>
      <c r="E29" s="110">
        <v>8.57</v>
      </c>
      <c r="F29" s="110">
        <v>7</v>
      </c>
      <c r="G29" s="32">
        <f t="shared" si="0"/>
        <v>46.07</v>
      </c>
      <c r="H29" s="33"/>
    </row>
    <row r="30" spans="1:8" s="5" customFormat="1" ht="15">
      <c r="A30" s="4">
        <v>24</v>
      </c>
      <c r="B30" s="110" t="s">
        <v>318</v>
      </c>
      <c r="C30" s="110" t="s">
        <v>319</v>
      </c>
      <c r="D30" s="110">
        <v>31.5</v>
      </c>
      <c r="E30" s="110">
        <v>5.57</v>
      </c>
      <c r="F30" s="110">
        <v>7</v>
      </c>
      <c r="G30" s="32">
        <f t="shared" si="0"/>
        <v>44.07</v>
      </c>
      <c r="H30" s="33"/>
    </row>
    <row r="31" spans="1:8" s="5" customFormat="1" ht="15">
      <c r="A31" s="4">
        <v>25</v>
      </c>
      <c r="B31" s="110" t="s">
        <v>266</v>
      </c>
      <c r="C31" s="110" t="s">
        <v>267</v>
      </c>
      <c r="D31" s="110">
        <v>30.5</v>
      </c>
      <c r="E31" s="110">
        <v>6.29</v>
      </c>
      <c r="F31" s="110">
        <v>7</v>
      </c>
      <c r="G31" s="32">
        <f t="shared" si="0"/>
        <v>43.79</v>
      </c>
      <c r="H31" s="33"/>
    </row>
    <row r="32" spans="1:8" s="5" customFormat="1" ht="15">
      <c r="A32" s="4">
        <v>26</v>
      </c>
      <c r="B32" s="110" t="s">
        <v>304</v>
      </c>
      <c r="C32" s="110" t="s">
        <v>305</v>
      </c>
      <c r="D32" s="110">
        <v>30.5</v>
      </c>
      <c r="E32" s="110">
        <v>10.86</v>
      </c>
      <c r="F32" s="110">
        <v>2</v>
      </c>
      <c r="G32" s="32">
        <f t="shared" si="0"/>
        <v>43.36</v>
      </c>
      <c r="H32" s="33"/>
    </row>
    <row r="33" spans="1:8" s="5" customFormat="1" ht="15">
      <c r="A33" s="4">
        <v>27</v>
      </c>
      <c r="B33" s="110" t="s">
        <v>376</v>
      </c>
      <c r="C33" s="110" t="s">
        <v>377</v>
      </c>
      <c r="D33" s="110">
        <v>29.5</v>
      </c>
      <c r="E33" s="110">
        <v>10.71</v>
      </c>
      <c r="F33" s="110">
        <v>2</v>
      </c>
      <c r="G33" s="32">
        <f t="shared" si="0"/>
        <v>42.21</v>
      </c>
      <c r="H33" s="33"/>
    </row>
    <row r="34" spans="1:8" s="5" customFormat="1" ht="15">
      <c r="A34" s="4">
        <v>28</v>
      </c>
      <c r="B34" s="110" t="s">
        <v>302</v>
      </c>
      <c r="C34" s="110" t="s">
        <v>303</v>
      </c>
      <c r="D34" s="110">
        <v>31.5</v>
      </c>
      <c r="E34" s="110">
        <v>2.86</v>
      </c>
      <c r="F34" s="110">
        <v>7</v>
      </c>
      <c r="G34" s="32">
        <f t="shared" si="0"/>
        <v>41.36</v>
      </c>
      <c r="H34" s="33"/>
    </row>
    <row r="35" spans="1:8" s="5" customFormat="1" ht="15">
      <c r="A35" s="4">
        <v>29</v>
      </c>
      <c r="B35" s="110" t="s">
        <v>346</v>
      </c>
      <c r="C35" s="110" t="s">
        <v>347</v>
      </c>
      <c r="D35" s="110">
        <v>31.5</v>
      </c>
      <c r="E35" s="110">
        <v>7.29</v>
      </c>
      <c r="F35" s="110">
        <v>2</v>
      </c>
      <c r="G35" s="32">
        <f t="shared" si="0"/>
        <v>40.79</v>
      </c>
      <c r="H35" s="33"/>
    </row>
    <row r="36" spans="1:8" s="5" customFormat="1" ht="15">
      <c r="A36" s="4">
        <v>30</v>
      </c>
      <c r="B36" s="110" t="s">
        <v>201</v>
      </c>
      <c r="C36" s="110" t="s">
        <v>384</v>
      </c>
      <c r="D36" s="110">
        <v>31.5</v>
      </c>
      <c r="E36" s="110">
        <v>6.8</v>
      </c>
      <c r="F36" s="110">
        <v>2</v>
      </c>
      <c r="G36" s="32">
        <f t="shared" si="0"/>
        <v>40.299999999999997</v>
      </c>
      <c r="H36" s="33"/>
    </row>
    <row r="37" spans="1:8" s="5" customFormat="1" ht="15">
      <c r="A37" s="4">
        <v>31</v>
      </c>
      <c r="B37" s="110" t="s">
        <v>323</v>
      </c>
      <c r="C37" s="110" t="s">
        <v>324</v>
      </c>
      <c r="D37" s="110">
        <v>31</v>
      </c>
      <c r="E37" s="110">
        <v>6.86</v>
      </c>
      <c r="F37" s="110">
        <v>2</v>
      </c>
      <c r="G37" s="32">
        <f t="shared" si="0"/>
        <v>39.86</v>
      </c>
      <c r="H37" s="33"/>
    </row>
    <row r="38" spans="1:8" s="5" customFormat="1" ht="15">
      <c r="A38" s="4">
        <v>32</v>
      </c>
      <c r="B38" s="110" t="s">
        <v>291</v>
      </c>
      <c r="C38" s="110" t="s">
        <v>292</v>
      </c>
      <c r="D38" s="110">
        <v>29</v>
      </c>
      <c r="E38" s="110">
        <v>3.21</v>
      </c>
      <c r="F38" s="110">
        <v>7</v>
      </c>
      <c r="G38" s="32">
        <f t="shared" si="0"/>
        <v>39.21</v>
      </c>
      <c r="H38" s="33"/>
    </row>
    <row r="39" spans="1:8" s="5" customFormat="1" ht="15">
      <c r="A39" s="4">
        <v>33</v>
      </c>
      <c r="B39" s="110" t="s">
        <v>274</v>
      </c>
      <c r="C39" s="110" t="s">
        <v>275</v>
      </c>
      <c r="D39" s="110">
        <v>31.5</v>
      </c>
      <c r="E39" s="110">
        <v>5.57</v>
      </c>
      <c r="F39" s="110">
        <v>2</v>
      </c>
      <c r="G39" s="32">
        <f t="shared" ref="G39:G70" si="1">SUM(D39:F39)</f>
        <v>39.07</v>
      </c>
      <c r="H39" s="33"/>
    </row>
    <row r="40" spans="1:8" s="5" customFormat="1" ht="15">
      <c r="A40" s="4">
        <v>34</v>
      </c>
      <c r="B40" s="110" t="s">
        <v>254</v>
      </c>
      <c r="C40" s="110" t="s">
        <v>255</v>
      </c>
      <c r="D40" s="110">
        <v>31.5</v>
      </c>
      <c r="E40" s="110">
        <v>7.43</v>
      </c>
      <c r="F40" s="110"/>
      <c r="G40" s="32">
        <f t="shared" si="1"/>
        <v>38.93</v>
      </c>
      <c r="H40" s="33"/>
    </row>
    <row r="41" spans="1:8" s="5" customFormat="1" ht="15">
      <c r="A41" s="4">
        <v>35</v>
      </c>
      <c r="B41" s="110" t="s">
        <v>258</v>
      </c>
      <c r="C41" s="110" t="s">
        <v>196</v>
      </c>
      <c r="D41" s="110">
        <v>29.5</v>
      </c>
      <c r="E41" s="110">
        <v>8.57</v>
      </c>
      <c r="F41" s="110"/>
      <c r="G41" s="32">
        <f t="shared" si="1"/>
        <v>38.07</v>
      </c>
      <c r="H41" s="33"/>
    </row>
    <row r="42" spans="1:8" s="5" customFormat="1" ht="15">
      <c r="A42" s="4">
        <v>36</v>
      </c>
      <c r="B42" s="110" t="s">
        <v>378</v>
      </c>
      <c r="C42" s="110" t="s">
        <v>379</v>
      </c>
      <c r="D42" s="110">
        <v>31.5</v>
      </c>
      <c r="E42" s="110">
        <v>4.5</v>
      </c>
      <c r="F42" s="110">
        <v>2</v>
      </c>
      <c r="G42" s="32">
        <f t="shared" si="1"/>
        <v>38</v>
      </c>
      <c r="H42" s="33"/>
    </row>
    <row r="43" spans="1:8" s="5" customFormat="1" ht="15">
      <c r="A43" s="4">
        <v>37</v>
      </c>
      <c r="B43" s="110" t="s">
        <v>368</v>
      </c>
      <c r="C43" s="110" t="s">
        <v>369</v>
      </c>
      <c r="D43" s="110">
        <v>30.5</v>
      </c>
      <c r="E43" s="110">
        <v>5</v>
      </c>
      <c r="F43" s="110">
        <v>2</v>
      </c>
      <c r="G43" s="32">
        <f t="shared" si="1"/>
        <v>37.5</v>
      </c>
      <c r="H43" s="33"/>
    </row>
    <row r="44" spans="1:8" s="5" customFormat="1" ht="15">
      <c r="A44" s="4">
        <v>38</v>
      </c>
      <c r="B44" s="110" t="s">
        <v>360</v>
      </c>
      <c r="C44" s="110" t="s">
        <v>361</v>
      </c>
      <c r="D44" s="110">
        <v>31.5</v>
      </c>
      <c r="E44" s="110">
        <v>3.43</v>
      </c>
      <c r="F44" s="110">
        <v>2</v>
      </c>
      <c r="G44" s="32">
        <f t="shared" si="1"/>
        <v>36.93</v>
      </c>
      <c r="H44" s="33"/>
    </row>
    <row r="45" spans="1:8" s="5" customFormat="1" ht="15">
      <c r="A45" s="4">
        <v>39</v>
      </c>
      <c r="B45" s="110" t="s">
        <v>256</v>
      </c>
      <c r="C45" s="110" t="s">
        <v>257</v>
      </c>
      <c r="D45" s="110">
        <v>23</v>
      </c>
      <c r="E45" s="110">
        <v>6.29</v>
      </c>
      <c r="F45" s="110">
        <v>7</v>
      </c>
      <c r="G45" s="32">
        <f t="shared" si="1"/>
        <v>36.29</v>
      </c>
      <c r="H45" s="33"/>
    </row>
    <row r="46" spans="1:8" s="5" customFormat="1" ht="15">
      <c r="A46" s="4">
        <v>40</v>
      </c>
      <c r="B46" s="110" t="s">
        <v>342</v>
      </c>
      <c r="C46" s="110" t="s">
        <v>343</v>
      </c>
      <c r="D46" s="110">
        <v>29</v>
      </c>
      <c r="E46" s="110">
        <v>6.43</v>
      </c>
      <c r="F46" s="110"/>
      <c r="G46" s="32">
        <f t="shared" si="1"/>
        <v>35.43</v>
      </c>
      <c r="H46" s="33"/>
    </row>
    <row r="47" spans="1:8" s="5" customFormat="1" ht="15">
      <c r="A47" s="4">
        <v>41</v>
      </c>
      <c r="B47" s="110" t="s">
        <v>317</v>
      </c>
      <c r="C47" s="110" t="s">
        <v>198</v>
      </c>
      <c r="D47" s="110">
        <v>31.5</v>
      </c>
      <c r="E47" s="110">
        <v>1.86</v>
      </c>
      <c r="F47" s="110">
        <v>2</v>
      </c>
      <c r="G47" s="32">
        <f t="shared" si="1"/>
        <v>35.36</v>
      </c>
      <c r="H47" s="33"/>
    </row>
    <row r="48" spans="1:8" s="5" customFormat="1" ht="15">
      <c r="A48" s="4">
        <v>42</v>
      </c>
      <c r="B48" s="110" t="s">
        <v>264</v>
      </c>
      <c r="C48" s="110" t="s">
        <v>265</v>
      </c>
      <c r="D48" s="110">
        <v>29.5</v>
      </c>
      <c r="E48" s="110">
        <v>5.29</v>
      </c>
      <c r="F48" s="110"/>
      <c r="G48" s="32">
        <f t="shared" si="1"/>
        <v>34.79</v>
      </c>
      <c r="H48" s="33"/>
    </row>
    <row r="49" spans="1:8" s="5" customFormat="1" ht="15">
      <c r="A49" s="4">
        <v>43</v>
      </c>
      <c r="B49" s="110" t="s">
        <v>333</v>
      </c>
      <c r="C49" s="110" t="s">
        <v>385</v>
      </c>
      <c r="D49" s="110">
        <v>31.5</v>
      </c>
      <c r="E49" s="110">
        <v>3</v>
      </c>
      <c r="F49" s="110"/>
      <c r="G49" s="32">
        <f t="shared" si="1"/>
        <v>34.5</v>
      </c>
      <c r="H49" s="33"/>
    </row>
    <row r="50" spans="1:8" s="5" customFormat="1" ht="15">
      <c r="A50" s="4">
        <v>44</v>
      </c>
      <c r="B50" s="110" t="s">
        <v>201</v>
      </c>
      <c r="C50" s="110" t="s">
        <v>382</v>
      </c>
      <c r="D50" s="110">
        <v>31.5</v>
      </c>
      <c r="E50" s="110">
        <v>2.86</v>
      </c>
      <c r="F50" s="110"/>
      <c r="G50" s="32">
        <f t="shared" si="1"/>
        <v>34.36</v>
      </c>
      <c r="H50" s="33"/>
    </row>
    <row r="51" spans="1:8" s="5" customFormat="1" ht="15">
      <c r="A51" s="4">
        <v>45</v>
      </c>
      <c r="B51" s="110" t="s">
        <v>373</v>
      </c>
      <c r="C51" s="110" t="s">
        <v>374</v>
      </c>
      <c r="D51" s="110">
        <v>29.5</v>
      </c>
      <c r="E51" s="110">
        <v>4.29</v>
      </c>
      <c r="F51" s="110"/>
      <c r="G51" s="32">
        <f t="shared" si="1"/>
        <v>33.79</v>
      </c>
      <c r="H51" s="33"/>
    </row>
    <row r="52" spans="1:8" s="5" customFormat="1" ht="15">
      <c r="A52" s="4">
        <v>46</v>
      </c>
      <c r="B52" s="110" t="s">
        <v>285</v>
      </c>
      <c r="C52" s="110" t="s">
        <v>286</v>
      </c>
      <c r="D52" s="110">
        <v>24</v>
      </c>
      <c r="E52" s="110">
        <v>9.2899999999999991</v>
      </c>
      <c r="F52" s="110"/>
      <c r="G52" s="32">
        <f t="shared" si="1"/>
        <v>33.29</v>
      </c>
      <c r="H52" s="33"/>
    </row>
    <row r="53" spans="1:8" s="5" customFormat="1" ht="15">
      <c r="A53" s="4">
        <v>47</v>
      </c>
      <c r="B53" s="110" t="s">
        <v>278</v>
      </c>
      <c r="C53" s="110" t="s">
        <v>279</v>
      </c>
      <c r="D53" s="110">
        <v>29</v>
      </c>
      <c r="E53" s="110">
        <v>4.1399999999999997</v>
      </c>
      <c r="F53" s="110"/>
      <c r="G53" s="32">
        <f t="shared" si="1"/>
        <v>33.14</v>
      </c>
      <c r="H53" s="33"/>
    </row>
    <row r="54" spans="1:8" s="5" customFormat="1" ht="15">
      <c r="A54" s="4">
        <v>48</v>
      </c>
      <c r="B54" s="110" t="s">
        <v>276</v>
      </c>
      <c r="C54" s="110" t="s">
        <v>277</v>
      </c>
      <c r="D54" s="110">
        <v>29.5</v>
      </c>
      <c r="E54" s="110">
        <v>3.43</v>
      </c>
      <c r="F54" s="110"/>
      <c r="G54" s="32">
        <f t="shared" si="1"/>
        <v>32.93</v>
      </c>
      <c r="H54" s="33"/>
    </row>
    <row r="55" spans="1:8" s="5" customFormat="1" ht="15">
      <c r="A55" s="4">
        <v>49</v>
      </c>
      <c r="B55" s="110" t="s">
        <v>364</v>
      </c>
      <c r="C55" s="110" t="s">
        <v>365</v>
      </c>
      <c r="D55" s="110">
        <v>29</v>
      </c>
      <c r="E55" s="110">
        <v>3.14</v>
      </c>
      <c r="F55" s="110"/>
      <c r="G55" s="32">
        <f t="shared" si="1"/>
        <v>32.14</v>
      </c>
      <c r="H55" s="33"/>
    </row>
    <row r="56" spans="1:8" s="5" customFormat="1" ht="15">
      <c r="A56" s="4">
        <v>50</v>
      </c>
      <c r="B56" s="110" t="s">
        <v>201</v>
      </c>
      <c r="C56" s="110" t="s">
        <v>381</v>
      </c>
      <c r="D56" s="110">
        <v>26.5</v>
      </c>
      <c r="E56" s="110">
        <v>5.29</v>
      </c>
      <c r="F56" s="110"/>
      <c r="G56" s="32">
        <f t="shared" si="1"/>
        <v>31.79</v>
      </c>
      <c r="H56" s="33"/>
    </row>
    <row r="57" spans="1:8" s="5" customFormat="1" ht="15">
      <c r="A57" s="4">
        <v>51</v>
      </c>
      <c r="B57" s="110" t="s">
        <v>313</v>
      </c>
      <c r="C57" s="110" t="s">
        <v>314</v>
      </c>
      <c r="D57" s="110">
        <v>23</v>
      </c>
      <c r="E57" s="110">
        <v>8.43</v>
      </c>
      <c r="F57" s="110"/>
      <c r="G57" s="32">
        <f t="shared" si="1"/>
        <v>31.43</v>
      </c>
      <c r="H57" s="33"/>
    </row>
    <row r="58" spans="1:8" s="5" customFormat="1" ht="15">
      <c r="A58" s="4">
        <v>52</v>
      </c>
      <c r="B58" s="110" t="s">
        <v>287</v>
      </c>
      <c r="C58" s="110" t="s">
        <v>288</v>
      </c>
      <c r="D58" s="110">
        <v>24</v>
      </c>
      <c r="E58" s="110">
        <v>7.29</v>
      </c>
      <c r="F58" s="110"/>
      <c r="G58" s="32">
        <f t="shared" si="1"/>
        <v>31.29</v>
      </c>
      <c r="H58" s="33"/>
    </row>
    <row r="59" spans="1:8" s="5" customFormat="1" ht="15">
      <c r="A59" s="4">
        <v>53</v>
      </c>
      <c r="B59" s="110" t="s">
        <v>348</v>
      </c>
      <c r="C59" s="110" t="s">
        <v>349</v>
      </c>
      <c r="D59" s="110">
        <v>27</v>
      </c>
      <c r="E59" s="110">
        <v>2.86</v>
      </c>
      <c r="F59" s="110"/>
      <c r="G59" s="32">
        <f t="shared" si="1"/>
        <v>29.86</v>
      </c>
      <c r="H59" s="33"/>
    </row>
    <row r="60" spans="1:8" s="5" customFormat="1" ht="15">
      <c r="A60" s="4">
        <v>54</v>
      </c>
      <c r="B60" s="110" t="s">
        <v>311</v>
      </c>
      <c r="C60" s="110" t="s">
        <v>312</v>
      </c>
      <c r="D60" s="110">
        <v>24</v>
      </c>
      <c r="E60" s="110">
        <v>3.43</v>
      </c>
      <c r="F60" s="110"/>
      <c r="G60" s="32">
        <f t="shared" si="1"/>
        <v>27.43</v>
      </c>
      <c r="H60" s="33"/>
    </row>
    <row r="61" spans="1:8" s="5" customFormat="1" ht="15">
      <c r="A61" s="4">
        <v>55</v>
      </c>
      <c r="B61" s="110" t="s">
        <v>344</v>
      </c>
      <c r="C61" s="110" t="s">
        <v>345</v>
      </c>
      <c r="D61" s="110">
        <v>22</v>
      </c>
      <c r="E61" s="110">
        <v>2.86</v>
      </c>
      <c r="F61" s="110">
        <v>2</v>
      </c>
      <c r="G61" s="32">
        <f t="shared" si="1"/>
        <v>26.86</v>
      </c>
      <c r="H61" s="33"/>
    </row>
    <row r="62" spans="1:8" s="5" customFormat="1" ht="15">
      <c r="A62" s="4">
        <v>56</v>
      </c>
      <c r="B62" s="110" t="s">
        <v>354</v>
      </c>
      <c r="C62" s="110" t="s">
        <v>355</v>
      </c>
      <c r="D62" s="110">
        <v>24</v>
      </c>
      <c r="E62" s="110">
        <v>2.86</v>
      </c>
      <c r="F62" s="110"/>
      <c r="G62" s="32">
        <f t="shared" si="1"/>
        <v>26.86</v>
      </c>
      <c r="H62" s="33"/>
    </row>
    <row r="63" spans="1:8" s="5" customFormat="1" ht="15">
      <c r="A63" s="4">
        <v>57</v>
      </c>
      <c r="B63" s="110" t="s">
        <v>300</v>
      </c>
      <c r="C63" s="110" t="s">
        <v>301</v>
      </c>
      <c r="D63" s="110">
        <v>15</v>
      </c>
      <c r="E63" s="110">
        <v>4.29</v>
      </c>
      <c r="F63" s="110">
        <v>7</v>
      </c>
      <c r="G63" s="32">
        <f t="shared" si="1"/>
        <v>26.29</v>
      </c>
      <c r="H63" s="33"/>
    </row>
    <row r="64" spans="1:8" s="5" customFormat="1" ht="15">
      <c r="A64" s="4">
        <v>58</v>
      </c>
      <c r="B64" s="110" t="s">
        <v>340</v>
      </c>
      <c r="C64" s="110" t="s">
        <v>341</v>
      </c>
      <c r="D64" s="110">
        <v>22</v>
      </c>
      <c r="E64" s="110">
        <v>4.29</v>
      </c>
      <c r="F64" s="110"/>
      <c r="G64" s="32">
        <f t="shared" si="1"/>
        <v>26.29</v>
      </c>
      <c r="H64" s="33"/>
    </row>
    <row r="65" spans="1:8" s="5" customFormat="1" ht="15">
      <c r="A65" s="4">
        <v>59</v>
      </c>
      <c r="B65" s="110" t="s">
        <v>298</v>
      </c>
      <c r="C65" s="110" t="s">
        <v>299</v>
      </c>
      <c r="D65" s="110">
        <v>24</v>
      </c>
      <c r="E65" s="110">
        <v>2.14</v>
      </c>
      <c r="F65" s="110"/>
      <c r="G65" s="32">
        <f t="shared" si="1"/>
        <v>26.14</v>
      </c>
      <c r="H65" s="33"/>
    </row>
    <row r="66" spans="1:8" s="5" customFormat="1" ht="15">
      <c r="A66" s="4">
        <v>60</v>
      </c>
      <c r="B66" s="110" t="s">
        <v>331</v>
      </c>
      <c r="C66" s="110" t="s">
        <v>332</v>
      </c>
      <c r="D66" s="110">
        <v>0</v>
      </c>
      <c r="E66" s="110">
        <v>8.7100000000000009</v>
      </c>
      <c r="F66" s="110">
        <v>17</v>
      </c>
      <c r="G66" s="32">
        <f t="shared" si="1"/>
        <v>25.71</v>
      </c>
      <c r="H66" s="33"/>
    </row>
    <row r="67" spans="1:8" s="5" customFormat="1" ht="15">
      <c r="A67" s="4">
        <v>61</v>
      </c>
      <c r="B67" s="110" t="s">
        <v>246</v>
      </c>
      <c r="C67" s="110" t="s">
        <v>247</v>
      </c>
      <c r="D67" s="110">
        <v>18</v>
      </c>
      <c r="E67" s="110">
        <v>7.63</v>
      </c>
      <c r="F67" s="110"/>
      <c r="G67" s="32">
        <f t="shared" si="1"/>
        <v>25.63</v>
      </c>
      <c r="H67" s="33"/>
    </row>
    <row r="68" spans="1:8" s="5" customFormat="1" ht="15">
      <c r="A68" s="4">
        <v>62</v>
      </c>
      <c r="B68" s="110" t="s">
        <v>262</v>
      </c>
      <c r="C68" s="110" t="s">
        <v>263</v>
      </c>
      <c r="D68" s="110">
        <v>22.5</v>
      </c>
      <c r="E68" s="110">
        <v>2.14</v>
      </c>
      <c r="F68" s="110"/>
      <c r="G68" s="32">
        <f t="shared" si="1"/>
        <v>24.64</v>
      </c>
      <c r="H68" s="33"/>
    </row>
    <row r="69" spans="1:8" s="5" customFormat="1" ht="15">
      <c r="A69" s="4">
        <v>63</v>
      </c>
      <c r="B69" s="110" t="s">
        <v>327</v>
      </c>
      <c r="C69" s="110" t="s">
        <v>328</v>
      </c>
      <c r="D69" s="110">
        <v>0</v>
      </c>
      <c r="E69" s="110">
        <v>4.8099999999999996</v>
      </c>
      <c r="F69" s="110">
        <v>17</v>
      </c>
      <c r="G69" s="32">
        <f t="shared" si="1"/>
        <v>21.81</v>
      </c>
      <c r="H69" s="33"/>
    </row>
    <row r="70" spans="1:8" s="5" customFormat="1" ht="15">
      <c r="A70" s="4">
        <v>64</v>
      </c>
      <c r="B70" s="110" t="s">
        <v>372</v>
      </c>
      <c r="C70" s="110" t="s">
        <v>200</v>
      </c>
      <c r="D70" s="110"/>
      <c r="E70" s="110">
        <v>12.57</v>
      </c>
      <c r="F70" s="110">
        <v>7</v>
      </c>
      <c r="G70" s="32">
        <f t="shared" si="1"/>
        <v>19.57</v>
      </c>
      <c r="H70" s="33"/>
    </row>
    <row r="71" spans="1:8" s="5" customFormat="1" ht="15">
      <c r="A71" s="4">
        <v>65</v>
      </c>
      <c r="B71" s="110" t="s">
        <v>309</v>
      </c>
      <c r="C71" s="110" t="s">
        <v>310</v>
      </c>
      <c r="D71" s="110">
        <v>0</v>
      </c>
      <c r="E71" s="110">
        <v>4.29</v>
      </c>
      <c r="F71" s="110">
        <v>12</v>
      </c>
      <c r="G71" s="32">
        <f t="shared" ref="G71:G84" si="2">SUM(D71:F71)</f>
        <v>16.29</v>
      </c>
      <c r="H71" s="33"/>
    </row>
    <row r="72" spans="1:8" s="5" customFormat="1" ht="15">
      <c r="A72" s="4">
        <v>66</v>
      </c>
      <c r="B72" s="110" t="s">
        <v>370</v>
      </c>
      <c r="C72" s="110" t="s">
        <v>371</v>
      </c>
      <c r="D72" s="110"/>
      <c r="E72" s="110">
        <v>14.29</v>
      </c>
      <c r="F72" s="110">
        <v>2</v>
      </c>
      <c r="G72" s="32">
        <f t="shared" si="2"/>
        <v>16.29</v>
      </c>
      <c r="H72" s="33"/>
    </row>
    <row r="73" spans="1:8" s="5" customFormat="1" ht="15">
      <c r="A73" s="4">
        <v>67</v>
      </c>
      <c r="B73" s="110" t="s">
        <v>296</v>
      </c>
      <c r="C73" s="110" t="s">
        <v>297</v>
      </c>
      <c r="D73" s="110">
        <v>0</v>
      </c>
      <c r="E73" s="110">
        <v>7.29</v>
      </c>
      <c r="F73" s="110">
        <v>7</v>
      </c>
      <c r="G73" s="32">
        <f t="shared" si="2"/>
        <v>14.29</v>
      </c>
      <c r="H73" s="33"/>
    </row>
    <row r="74" spans="1:8" s="5" customFormat="1" ht="15">
      <c r="A74" s="4">
        <v>68</v>
      </c>
      <c r="B74" s="110" t="s">
        <v>336</v>
      </c>
      <c r="C74" s="110" t="s">
        <v>337</v>
      </c>
      <c r="D74" s="110">
        <v>0</v>
      </c>
      <c r="E74" s="110">
        <v>8.57</v>
      </c>
      <c r="F74" s="110">
        <v>2</v>
      </c>
      <c r="G74" s="32">
        <f t="shared" si="2"/>
        <v>10.57</v>
      </c>
      <c r="H74" s="33"/>
    </row>
    <row r="75" spans="1:8" s="5" customFormat="1" ht="15">
      <c r="A75" s="4">
        <v>69</v>
      </c>
      <c r="B75" s="110" t="s">
        <v>352</v>
      </c>
      <c r="C75" s="110" t="s">
        <v>353</v>
      </c>
      <c r="D75" s="110"/>
      <c r="E75" s="110">
        <v>8.09</v>
      </c>
      <c r="F75" s="110">
        <v>2</v>
      </c>
      <c r="G75" s="32">
        <f t="shared" si="2"/>
        <v>10.09</v>
      </c>
      <c r="H75" s="33"/>
    </row>
    <row r="76" spans="1:8" s="5" customFormat="1" ht="15">
      <c r="A76" s="4">
        <v>70</v>
      </c>
      <c r="B76" s="110" t="s">
        <v>252</v>
      </c>
      <c r="C76" s="110" t="s">
        <v>253</v>
      </c>
      <c r="D76" s="110">
        <v>0</v>
      </c>
      <c r="E76" s="110">
        <v>7.63</v>
      </c>
      <c r="F76" s="110"/>
      <c r="G76" s="32">
        <f t="shared" si="2"/>
        <v>7.63</v>
      </c>
      <c r="H76" s="33"/>
    </row>
    <row r="77" spans="1:8" s="5" customFormat="1" ht="15">
      <c r="A77" s="4">
        <v>71</v>
      </c>
      <c r="B77" s="110" t="s">
        <v>375</v>
      </c>
      <c r="C77" s="110" t="s">
        <v>153</v>
      </c>
      <c r="D77" s="110"/>
      <c r="E77" s="110">
        <v>5</v>
      </c>
      <c r="F77" s="110">
        <v>2</v>
      </c>
      <c r="G77" s="32">
        <f t="shared" si="2"/>
        <v>7</v>
      </c>
      <c r="H77" s="33"/>
    </row>
    <row r="78" spans="1:8" s="5" customFormat="1" ht="15">
      <c r="A78" s="4">
        <v>72</v>
      </c>
      <c r="B78" s="110" t="s">
        <v>366</v>
      </c>
      <c r="C78" s="110" t="s">
        <v>367</v>
      </c>
      <c r="D78" s="110"/>
      <c r="E78" s="110">
        <v>4.29</v>
      </c>
      <c r="F78" s="110">
        <v>2</v>
      </c>
      <c r="G78" s="32">
        <f t="shared" si="2"/>
        <v>6.29</v>
      </c>
      <c r="H78" s="33"/>
    </row>
    <row r="79" spans="1:8" s="5" customFormat="1" ht="15">
      <c r="A79" s="4">
        <v>73</v>
      </c>
      <c r="B79" s="110" t="s">
        <v>289</v>
      </c>
      <c r="C79" s="110" t="s">
        <v>290</v>
      </c>
      <c r="D79" s="110">
        <v>0</v>
      </c>
      <c r="E79" s="110">
        <v>5.36</v>
      </c>
      <c r="F79" s="110"/>
      <c r="G79" s="32">
        <f t="shared" si="2"/>
        <v>5.36</v>
      </c>
      <c r="H79" s="33"/>
    </row>
    <row r="80" spans="1:8" s="5" customFormat="1" ht="15">
      <c r="A80" s="4">
        <v>74</v>
      </c>
      <c r="B80" s="110" t="s">
        <v>320</v>
      </c>
      <c r="C80" s="110" t="s">
        <v>321</v>
      </c>
      <c r="D80" s="110">
        <v>0</v>
      </c>
      <c r="E80" s="110">
        <v>2.86</v>
      </c>
      <c r="F80" s="110">
        <v>2</v>
      </c>
      <c r="G80" s="32">
        <f t="shared" si="2"/>
        <v>4.8599999999999994</v>
      </c>
      <c r="H80" s="33"/>
    </row>
    <row r="81" spans="1:8" s="5" customFormat="1" ht="15">
      <c r="A81" s="4">
        <v>75</v>
      </c>
      <c r="B81" s="110" t="s">
        <v>272</v>
      </c>
      <c r="C81" s="110" t="s">
        <v>273</v>
      </c>
      <c r="D81" s="110">
        <v>0</v>
      </c>
      <c r="E81" s="110">
        <v>4.29</v>
      </c>
      <c r="F81" s="110"/>
      <c r="G81" s="32">
        <f t="shared" si="2"/>
        <v>4.29</v>
      </c>
      <c r="H81" s="33"/>
    </row>
    <row r="82" spans="1:8" s="5" customFormat="1" ht="15">
      <c r="A82" s="4">
        <v>76</v>
      </c>
      <c r="B82" s="110" t="s">
        <v>280</v>
      </c>
      <c r="C82" s="110" t="s">
        <v>281</v>
      </c>
      <c r="D82" s="110">
        <v>0</v>
      </c>
      <c r="E82" s="110">
        <v>3.86</v>
      </c>
      <c r="F82" s="110"/>
      <c r="G82" s="32">
        <f t="shared" si="2"/>
        <v>3.86</v>
      </c>
      <c r="H82" s="33"/>
    </row>
    <row r="83" spans="1:8" s="5" customFormat="1" ht="15">
      <c r="A83" s="4">
        <v>77</v>
      </c>
      <c r="B83" s="110" t="s">
        <v>201</v>
      </c>
      <c r="C83" s="110" t="s">
        <v>380</v>
      </c>
      <c r="D83" s="110"/>
      <c r="E83" s="110">
        <v>2.14</v>
      </c>
      <c r="F83" s="110"/>
      <c r="G83" s="32">
        <f t="shared" si="2"/>
        <v>2.14</v>
      </c>
      <c r="H83" s="33"/>
    </row>
    <row r="84" spans="1:8" s="5" customFormat="1" ht="15">
      <c r="A84" s="4">
        <v>78</v>
      </c>
      <c r="B84" s="109" t="s">
        <v>244</v>
      </c>
      <c r="C84" s="109" t="s">
        <v>245</v>
      </c>
      <c r="D84" s="109">
        <v>0</v>
      </c>
      <c r="E84" s="110">
        <v>2.14</v>
      </c>
      <c r="F84" s="109"/>
      <c r="G84" s="32">
        <f t="shared" si="2"/>
        <v>2.14</v>
      </c>
      <c r="H84" s="33"/>
    </row>
    <row r="85" spans="1:8" s="91" customFormat="1" ht="15.75">
      <c r="A85" s="54"/>
      <c r="B85" s="86"/>
      <c r="C85" s="54" t="s">
        <v>70</v>
      </c>
      <c r="D85" s="54">
        <f>SUM(D7:D84)</f>
        <v>2082</v>
      </c>
      <c r="E85" s="54">
        <f>SUM(E7:E84)</f>
        <v>710.58999999999969</v>
      </c>
      <c r="F85" s="54">
        <f>SUM(F7:F84)</f>
        <v>440</v>
      </c>
      <c r="G85" s="54">
        <f>SUM(G7:G84)</f>
        <v>3232.5899999999992</v>
      </c>
      <c r="H85" s="54">
        <f>SUM(H7:H84)</f>
        <v>0</v>
      </c>
    </row>
  </sheetData>
  <autoFilter ref="A3:H85"/>
  <sortState ref="B7:H84">
    <sortCondition descending="1" ref="G7:G84"/>
  </sortState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Footer>&amp;LSef Birou C.S.P.,
Biolog Iuliana GRIGORE&amp;RSef Birou D.S.P.,
Ec.Adriana COSOREANU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32"/>
  <sheetViews>
    <sheetView workbookViewId="0">
      <pane ySplit="7" topLeftCell="A8" activePane="bottomLeft" state="frozen"/>
      <selection activeCell="H121" sqref="H121:H128"/>
      <selection pane="bottomLeft" activeCell="K22" sqref="K22"/>
    </sheetView>
  </sheetViews>
  <sheetFormatPr defaultRowHeight="12.75"/>
  <cols>
    <col min="1" max="1" width="9.140625" style="12"/>
    <col min="2" max="2" width="9.85546875" style="11" customWidth="1"/>
    <col min="3" max="3" width="36.28515625" style="11" customWidth="1"/>
    <col min="4" max="4" width="14" style="12" customWidth="1"/>
    <col min="5" max="5" width="17.7109375" style="12" customWidth="1"/>
    <col min="6" max="6" width="11.28515625" style="12" customWidth="1"/>
    <col min="7" max="7" width="14" style="12" customWidth="1"/>
    <col min="8" max="8" width="18.5703125" style="12" customWidth="1"/>
    <col min="9" max="9" width="25.7109375" style="106" customWidth="1"/>
    <col min="10" max="16384" width="9.140625" style="12"/>
  </cols>
  <sheetData>
    <row r="2" spans="1:12" ht="15.75">
      <c r="C2" s="60" t="s">
        <v>169</v>
      </c>
    </row>
    <row r="3" spans="1:12">
      <c r="A3" s="9"/>
      <c r="C3" s="64" t="s">
        <v>149</v>
      </c>
    </row>
    <row r="4" spans="1:12">
      <c r="A4" s="15"/>
      <c r="B4" s="13"/>
      <c r="C4" s="2"/>
    </row>
    <row r="5" spans="1:12">
      <c r="A5" s="15"/>
      <c r="B5" s="14"/>
      <c r="C5" s="21" t="s">
        <v>386</v>
      </c>
    </row>
    <row r="6" spans="1:12" s="64" customFormat="1" ht="25.5" customHeight="1">
      <c r="A6" s="131" t="s">
        <v>54</v>
      </c>
      <c r="B6" s="132" t="s">
        <v>145</v>
      </c>
      <c r="C6" s="132" t="s">
        <v>56</v>
      </c>
      <c r="D6" s="122" t="s">
        <v>110</v>
      </c>
      <c r="E6" s="122"/>
      <c r="F6" s="122"/>
      <c r="G6" s="122"/>
      <c r="H6" s="134" t="s">
        <v>89</v>
      </c>
      <c r="I6" s="133" t="s">
        <v>170</v>
      </c>
    </row>
    <row r="7" spans="1:12" s="64" customFormat="1" ht="38.25">
      <c r="A7" s="131"/>
      <c r="B7" s="132"/>
      <c r="C7" s="132"/>
      <c r="D7" s="37" t="s">
        <v>58</v>
      </c>
      <c r="E7" s="37" t="s">
        <v>57</v>
      </c>
      <c r="F7" s="37" t="s">
        <v>59</v>
      </c>
      <c r="G7" s="72" t="s">
        <v>70</v>
      </c>
      <c r="H7" s="135"/>
      <c r="I7" s="133"/>
      <c r="L7" s="37"/>
    </row>
    <row r="8" spans="1:12" s="5" customFormat="1" ht="15">
      <c r="A8" s="4">
        <v>1</v>
      </c>
      <c r="B8" s="61" t="s">
        <v>156</v>
      </c>
      <c r="C8" s="61" t="s">
        <v>153</v>
      </c>
      <c r="D8" s="105">
        <v>4.29</v>
      </c>
      <c r="E8" s="105">
        <f>22.5+23.5</f>
        <v>46</v>
      </c>
      <c r="F8" s="105">
        <v>17</v>
      </c>
      <c r="G8" s="32">
        <f t="shared" ref="G8:G31" si="0">D8+E8+F8</f>
        <v>67.289999999999992</v>
      </c>
      <c r="H8" s="6"/>
      <c r="I8" s="107" t="s">
        <v>243</v>
      </c>
    </row>
    <row r="9" spans="1:12" s="5" customFormat="1" ht="15">
      <c r="A9" s="4">
        <v>2</v>
      </c>
      <c r="B9" s="62" t="s">
        <v>162</v>
      </c>
      <c r="C9" s="79" t="s">
        <v>228</v>
      </c>
      <c r="D9" s="105">
        <f>1+2.86</f>
        <v>3.86</v>
      </c>
      <c r="E9" s="105">
        <v>31.5</v>
      </c>
      <c r="F9" s="105">
        <v>17</v>
      </c>
      <c r="G9" s="32">
        <f t="shared" si="0"/>
        <v>52.36</v>
      </c>
      <c r="H9" s="7"/>
      <c r="I9" s="107" t="s">
        <v>242</v>
      </c>
    </row>
    <row r="10" spans="1:12" s="5" customFormat="1" ht="15">
      <c r="A10" s="4">
        <v>3</v>
      </c>
      <c r="B10" s="61" t="s">
        <v>165</v>
      </c>
      <c r="C10" s="62" t="s">
        <v>106</v>
      </c>
      <c r="D10" s="105">
        <f>6.86+2.4</f>
        <v>9.26</v>
      </c>
      <c r="E10" s="105">
        <v>31</v>
      </c>
      <c r="F10" s="105">
        <v>7</v>
      </c>
      <c r="G10" s="32">
        <f t="shared" si="0"/>
        <v>47.26</v>
      </c>
      <c r="H10" s="7"/>
      <c r="I10" s="107" t="s">
        <v>242</v>
      </c>
    </row>
    <row r="11" spans="1:12" s="5" customFormat="1" ht="15">
      <c r="A11" s="4">
        <v>4</v>
      </c>
      <c r="B11" s="62" t="s">
        <v>157</v>
      </c>
      <c r="C11" s="62" t="s">
        <v>172</v>
      </c>
      <c r="D11" s="105">
        <f>5.71+2+2.86</f>
        <v>10.57</v>
      </c>
      <c r="E11" s="105"/>
      <c r="F11" s="105">
        <v>29</v>
      </c>
      <c r="G11" s="32">
        <f t="shared" si="0"/>
        <v>39.57</v>
      </c>
      <c r="H11" s="6"/>
      <c r="I11" s="107" t="s">
        <v>242</v>
      </c>
    </row>
    <row r="12" spans="1:12" s="5" customFormat="1" ht="15">
      <c r="A12" s="4">
        <v>5</v>
      </c>
      <c r="B12" s="61" t="s">
        <v>166</v>
      </c>
      <c r="C12" s="62" t="s">
        <v>107</v>
      </c>
      <c r="D12" s="105">
        <v>5.71</v>
      </c>
      <c r="E12" s="105">
        <v>31.5</v>
      </c>
      <c r="F12" s="105"/>
      <c r="G12" s="32">
        <f t="shared" si="0"/>
        <v>37.21</v>
      </c>
      <c r="H12" s="6"/>
      <c r="I12" s="107" t="s">
        <v>242</v>
      </c>
    </row>
    <row r="13" spans="1:12" s="5" customFormat="1" ht="15">
      <c r="A13" s="4">
        <v>6</v>
      </c>
      <c r="B13" s="62" t="s">
        <v>161</v>
      </c>
      <c r="C13" s="62" t="s">
        <v>227</v>
      </c>
      <c r="D13" s="105">
        <f>2.86+0.71+1+1</f>
        <v>5.57</v>
      </c>
      <c r="E13" s="105">
        <v>29.5</v>
      </c>
      <c r="F13" s="105"/>
      <c r="G13" s="32">
        <f t="shared" si="0"/>
        <v>35.07</v>
      </c>
      <c r="H13" s="7"/>
      <c r="I13" s="107" t="s">
        <v>242</v>
      </c>
    </row>
    <row r="14" spans="1:12" s="5" customFormat="1" ht="15">
      <c r="A14" s="4">
        <v>7</v>
      </c>
      <c r="B14" s="61" t="s">
        <v>168</v>
      </c>
      <c r="C14" s="61" t="s">
        <v>152</v>
      </c>
      <c r="D14" s="105">
        <f>5.71+1</f>
        <v>6.71</v>
      </c>
      <c r="E14" s="105">
        <v>22</v>
      </c>
      <c r="F14" s="105">
        <v>2</v>
      </c>
      <c r="G14" s="32">
        <f t="shared" si="0"/>
        <v>30.71</v>
      </c>
      <c r="H14" s="6"/>
      <c r="I14" s="107" t="s">
        <v>242</v>
      </c>
    </row>
    <row r="15" spans="1:12" s="5" customFormat="1" ht="15">
      <c r="A15" s="4">
        <v>8</v>
      </c>
      <c r="B15" s="104" t="s">
        <v>233</v>
      </c>
      <c r="C15" s="102" t="s">
        <v>234</v>
      </c>
      <c r="D15" s="105">
        <v>4.29</v>
      </c>
      <c r="E15" s="105">
        <v>26</v>
      </c>
      <c r="F15" s="105"/>
      <c r="G15" s="32">
        <f t="shared" si="0"/>
        <v>30.29</v>
      </c>
      <c r="H15" s="7"/>
      <c r="I15" s="107" t="s">
        <v>242</v>
      </c>
    </row>
    <row r="16" spans="1:12" s="5" customFormat="1" ht="25.5">
      <c r="A16" s="4">
        <v>9</v>
      </c>
      <c r="B16" s="62" t="s">
        <v>167</v>
      </c>
      <c r="C16" s="79" t="s">
        <v>235</v>
      </c>
      <c r="D16" s="105">
        <v>4.29</v>
      </c>
      <c r="E16" s="105">
        <v>26</v>
      </c>
      <c r="F16" s="105"/>
      <c r="G16" s="32">
        <f t="shared" si="0"/>
        <v>30.29</v>
      </c>
      <c r="H16" s="6"/>
      <c r="I16" s="107" t="s">
        <v>243</v>
      </c>
    </row>
    <row r="17" spans="1:9" s="5" customFormat="1" ht="15">
      <c r="A17" s="4">
        <v>10</v>
      </c>
      <c r="B17" s="61" t="s">
        <v>164</v>
      </c>
      <c r="C17" s="61" t="s">
        <v>232</v>
      </c>
      <c r="D17" s="105">
        <v>2.86</v>
      </c>
      <c r="E17" s="105">
        <v>24</v>
      </c>
      <c r="F17" s="105"/>
      <c r="G17" s="32">
        <f t="shared" si="0"/>
        <v>26.86</v>
      </c>
      <c r="H17" s="7"/>
      <c r="I17" s="107" t="s">
        <v>242</v>
      </c>
    </row>
    <row r="18" spans="1:9" s="5" customFormat="1" ht="15">
      <c r="A18" s="4">
        <v>11</v>
      </c>
      <c r="B18" s="62" t="s">
        <v>219</v>
      </c>
      <c r="C18" s="102" t="s">
        <v>220</v>
      </c>
      <c r="D18" s="105">
        <f>5.71+2</f>
        <v>7.71</v>
      </c>
      <c r="E18" s="105"/>
      <c r="F18" s="105">
        <v>17</v>
      </c>
      <c r="G18" s="32">
        <f t="shared" si="0"/>
        <v>24.71</v>
      </c>
      <c r="H18" s="6"/>
      <c r="I18" s="107" t="s">
        <v>242</v>
      </c>
    </row>
    <row r="19" spans="1:9" s="5" customFormat="1" ht="15">
      <c r="A19" s="4">
        <v>12</v>
      </c>
      <c r="B19" s="61" t="s">
        <v>155</v>
      </c>
      <c r="C19" s="61" t="s">
        <v>221</v>
      </c>
      <c r="D19" s="105">
        <v>2.57</v>
      </c>
      <c r="E19" s="105">
        <v>18</v>
      </c>
      <c r="F19" s="105"/>
      <c r="G19" s="32">
        <f t="shared" si="0"/>
        <v>20.57</v>
      </c>
      <c r="H19" s="6"/>
      <c r="I19" s="107" t="s">
        <v>243</v>
      </c>
    </row>
    <row r="20" spans="1:9" s="5" customFormat="1" ht="15">
      <c r="A20" s="4">
        <v>13</v>
      </c>
      <c r="B20" s="62" t="s">
        <v>159</v>
      </c>
      <c r="C20" s="62" t="s">
        <v>223</v>
      </c>
      <c r="D20" s="105">
        <f>0.71+0.71</f>
        <v>1.42</v>
      </c>
      <c r="E20" s="105"/>
      <c r="F20" s="105">
        <v>19</v>
      </c>
      <c r="G20" s="32">
        <f t="shared" si="0"/>
        <v>20.420000000000002</v>
      </c>
      <c r="H20" s="6"/>
      <c r="I20" s="107" t="s">
        <v>171</v>
      </c>
    </row>
    <row r="21" spans="1:9" s="5" customFormat="1" ht="15">
      <c r="A21" s="4">
        <v>14</v>
      </c>
      <c r="B21" s="103" t="s">
        <v>158</v>
      </c>
      <c r="C21" s="103" t="s">
        <v>222</v>
      </c>
      <c r="D21" s="105">
        <v>9.14</v>
      </c>
      <c r="E21" s="105"/>
      <c r="F21" s="105"/>
      <c r="G21" s="32">
        <f t="shared" si="0"/>
        <v>9.14</v>
      </c>
      <c r="H21" s="6"/>
      <c r="I21" s="107" t="s">
        <v>243</v>
      </c>
    </row>
    <row r="22" spans="1:9" s="5" customFormat="1" ht="15">
      <c r="A22" s="4">
        <v>15</v>
      </c>
      <c r="B22" s="99" t="s">
        <v>154</v>
      </c>
      <c r="C22" s="100" t="s">
        <v>216</v>
      </c>
      <c r="D22" s="105">
        <v>9</v>
      </c>
      <c r="E22" s="105"/>
      <c r="F22" s="105"/>
      <c r="G22" s="32">
        <f t="shared" si="0"/>
        <v>9</v>
      </c>
      <c r="H22" s="6"/>
      <c r="I22" s="107" t="s">
        <v>241</v>
      </c>
    </row>
    <row r="23" spans="1:9" s="5" customFormat="1" ht="15">
      <c r="A23" s="4">
        <v>16</v>
      </c>
      <c r="B23" s="61" t="s">
        <v>160</v>
      </c>
      <c r="C23" s="61" t="s">
        <v>226</v>
      </c>
      <c r="D23" s="105">
        <v>0.71</v>
      </c>
      <c r="E23" s="105"/>
      <c r="F23" s="105">
        <v>7</v>
      </c>
      <c r="G23" s="32">
        <f t="shared" si="0"/>
        <v>7.71</v>
      </c>
      <c r="H23" s="6"/>
      <c r="I23" s="107" t="s">
        <v>171</v>
      </c>
    </row>
    <row r="24" spans="1:9" s="5" customFormat="1" ht="25.5">
      <c r="A24" s="4">
        <v>17</v>
      </c>
      <c r="B24" s="104" t="s">
        <v>236</v>
      </c>
      <c r="C24" s="102" t="s">
        <v>237</v>
      </c>
      <c r="D24" s="105">
        <f>1.43+1.43</f>
        <v>2.86</v>
      </c>
      <c r="E24" s="105"/>
      <c r="F24" s="105">
        <v>2</v>
      </c>
      <c r="G24" s="32">
        <f t="shared" si="0"/>
        <v>4.8599999999999994</v>
      </c>
      <c r="H24" s="6"/>
      <c r="I24" s="107" t="s">
        <v>171</v>
      </c>
    </row>
    <row r="25" spans="1:9" s="5" customFormat="1" ht="15">
      <c r="A25" s="4">
        <v>18</v>
      </c>
      <c r="B25" s="61" t="s">
        <v>192</v>
      </c>
      <c r="C25" s="61" t="s">
        <v>240</v>
      </c>
      <c r="D25" s="105">
        <v>4.29</v>
      </c>
      <c r="E25" s="105"/>
      <c r="F25" s="105"/>
      <c r="G25" s="32">
        <f t="shared" si="0"/>
        <v>4.29</v>
      </c>
      <c r="H25" s="6"/>
      <c r="I25" s="107" t="s">
        <v>243</v>
      </c>
    </row>
    <row r="26" spans="1:9" s="5" customFormat="1" ht="15">
      <c r="A26" s="4">
        <v>19</v>
      </c>
      <c r="B26" s="102" t="s">
        <v>224</v>
      </c>
      <c r="C26" s="102" t="s">
        <v>225</v>
      </c>
      <c r="D26" s="105">
        <f>0.71*3</f>
        <v>2.13</v>
      </c>
      <c r="E26" s="105"/>
      <c r="F26" s="105">
        <v>2</v>
      </c>
      <c r="G26" s="32">
        <f t="shared" si="0"/>
        <v>4.13</v>
      </c>
      <c r="H26" s="6"/>
      <c r="I26" s="107" t="s">
        <v>171</v>
      </c>
    </row>
    <row r="27" spans="1:9" s="5" customFormat="1" ht="15">
      <c r="A27" s="4">
        <v>20</v>
      </c>
      <c r="B27" s="61" t="s">
        <v>191</v>
      </c>
      <c r="C27" s="61" t="s">
        <v>231</v>
      </c>
      <c r="D27" s="105">
        <v>4</v>
      </c>
      <c r="E27" s="105"/>
      <c r="F27" s="105"/>
      <c r="G27" s="32">
        <f t="shared" si="0"/>
        <v>4</v>
      </c>
      <c r="H27" s="7"/>
      <c r="I27" s="107" t="s">
        <v>242</v>
      </c>
    </row>
    <row r="28" spans="1:9" s="5" customFormat="1" ht="15">
      <c r="A28" s="4">
        <v>21</v>
      </c>
      <c r="B28" s="61" t="s">
        <v>163</v>
      </c>
      <c r="C28" s="61" t="s">
        <v>151</v>
      </c>
      <c r="D28" s="105">
        <v>3.77</v>
      </c>
      <c r="E28" s="105"/>
      <c r="F28" s="105"/>
      <c r="G28" s="32">
        <f t="shared" si="0"/>
        <v>3.77</v>
      </c>
      <c r="H28" s="7"/>
      <c r="I28" s="107" t="s">
        <v>243</v>
      </c>
    </row>
    <row r="29" spans="1:9" s="5" customFormat="1" ht="15">
      <c r="A29" s="4">
        <v>22</v>
      </c>
      <c r="B29" s="104" t="s">
        <v>229</v>
      </c>
      <c r="C29" s="102" t="s">
        <v>230</v>
      </c>
      <c r="D29" s="105">
        <v>3</v>
      </c>
      <c r="E29" s="105"/>
      <c r="F29" s="105"/>
      <c r="G29" s="32">
        <f t="shared" si="0"/>
        <v>3</v>
      </c>
      <c r="H29" s="7"/>
      <c r="I29" s="107" t="s">
        <v>243</v>
      </c>
    </row>
    <row r="30" spans="1:9" s="5" customFormat="1" ht="15">
      <c r="A30" s="4">
        <v>23</v>
      </c>
      <c r="B30" s="104" t="s">
        <v>238</v>
      </c>
      <c r="C30" s="102" t="s">
        <v>239</v>
      </c>
      <c r="D30" s="105">
        <v>1</v>
      </c>
      <c r="E30" s="105"/>
      <c r="F30" s="105"/>
      <c r="G30" s="32">
        <f t="shared" si="0"/>
        <v>1</v>
      </c>
      <c r="H30" s="7"/>
      <c r="I30" s="107" t="s">
        <v>171</v>
      </c>
    </row>
    <row r="31" spans="1:9" s="5" customFormat="1" ht="15">
      <c r="A31" s="4">
        <v>24</v>
      </c>
      <c r="B31" s="101" t="s">
        <v>217</v>
      </c>
      <c r="C31" s="101" t="s">
        <v>218</v>
      </c>
      <c r="D31" s="105">
        <v>0.71</v>
      </c>
      <c r="E31" s="90"/>
      <c r="F31" s="90"/>
      <c r="G31" s="32">
        <f t="shared" si="0"/>
        <v>0.71</v>
      </c>
      <c r="H31" s="6"/>
      <c r="I31" s="107" t="s">
        <v>171</v>
      </c>
    </row>
    <row r="32" spans="1:9" s="67" customFormat="1" ht="15.75">
      <c r="A32" s="55"/>
      <c r="B32" s="56"/>
      <c r="C32" s="56" t="s">
        <v>70</v>
      </c>
      <c r="D32" s="57">
        <f>SUM(D8:D31)</f>
        <v>109.71999999999997</v>
      </c>
      <c r="E32" s="57">
        <f>SUM(E8:E31)</f>
        <v>285.5</v>
      </c>
      <c r="F32" s="57">
        <f>SUM(F8:F31)</f>
        <v>119</v>
      </c>
      <c r="G32" s="57">
        <f>SUM(G8:G31)</f>
        <v>514.22</v>
      </c>
      <c r="H32" s="57">
        <f>SUM(H8:H31)</f>
        <v>0</v>
      </c>
      <c r="I32" s="108"/>
    </row>
  </sheetData>
  <sortState ref="B8:I31">
    <sortCondition descending="1" ref="G8:G31"/>
  </sortState>
  <mergeCells count="6">
    <mergeCell ref="A6:A7"/>
    <mergeCell ref="B6:B7"/>
    <mergeCell ref="C6:C7"/>
    <mergeCell ref="D6:G6"/>
    <mergeCell ref="I6:I7"/>
    <mergeCell ref="H6:H7"/>
  </mergeCells>
  <printOptions horizontalCentered="1"/>
  <pageMargins left="0" right="0" top="0.196850393700787" bottom="0.59055118110236204" header="0.118110236220472" footer="0.118110236220472"/>
  <pageSetup paperSize="9" scale="65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2:G11"/>
  <sheetViews>
    <sheetView zoomScaleNormal="100" workbookViewId="0">
      <pane ySplit="7" topLeftCell="A8" activePane="bottomLeft" state="frozen"/>
      <selection activeCell="H121" sqref="H121:H128"/>
      <selection pane="bottomLeft" activeCell="C6" sqref="C6:F6"/>
    </sheetView>
  </sheetViews>
  <sheetFormatPr defaultRowHeight="12.75"/>
  <cols>
    <col min="1" max="1" width="9.140625" style="1"/>
    <col min="2" max="2" width="31.5703125" style="2" customWidth="1"/>
    <col min="3" max="3" width="14" style="1" customWidth="1"/>
    <col min="4" max="4" width="12.28515625" style="1" customWidth="1"/>
    <col min="5" max="5" width="12.7109375" style="1" customWidth="1"/>
    <col min="6" max="6" width="14" style="1" customWidth="1"/>
    <col min="7" max="7" width="18.7109375" style="1" customWidth="1"/>
    <col min="8" max="16384" width="9.140625" style="1"/>
  </cols>
  <sheetData>
    <row r="2" spans="1:7">
      <c r="B2" s="3"/>
    </row>
    <row r="3" spans="1:7" ht="15.75">
      <c r="A3" s="60" t="s">
        <v>148</v>
      </c>
    </row>
    <row r="4" spans="1:7" ht="15.75">
      <c r="B4" s="59"/>
      <c r="D4" s="68" t="s">
        <v>149</v>
      </c>
    </row>
    <row r="5" spans="1:7">
      <c r="B5" s="21"/>
      <c r="D5" s="21" t="s">
        <v>386</v>
      </c>
    </row>
    <row r="6" spans="1:7" ht="12.75" customHeight="1">
      <c r="A6" s="131" t="s">
        <v>54</v>
      </c>
      <c r="B6" s="132" t="s">
        <v>56</v>
      </c>
      <c r="C6" s="122" t="s">
        <v>110</v>
      </c>
      <c r="D6" s="122"/>
      <c r="E6" s="122"/>
      <c r="F6" s="122"/>
      <c r="G6" s="4"/>
    </row>
    <row r="7" spans="1:7" ht="38.25">
      <c r="A7" s="131"/>
      <c r="B7" s="132"/>
      <c r="C7" s="37" t="s">
        <v>57</v>
      </c>
      <c r="D7" s="37" t="s">
        <v>58</v>
      </c>
      <c r="E7" s="37" t="s">
        <v>59</v>
      </c>
      <c r="F7" s="66" t="s">
        <v>70</v>
      </c>
      <c r="G7" s="37" t="s">
        <v>89</v>
      </c>
    </row>
    <row r="8" spans="1:7" ht="15.75">
      <c r="A8" s="4">
        <v>1</v>
      </c>
      <c r="B8" s="8" t="s">
        <v>150</v>
      </c>
      <c r="C8" s="32">
        <v>48</v>
      </c>
      <c r="D8" s="32">
        <v>33.33</v>
      </c>
      <c r="E8" s="32">
        <v>12</v>
      </c>
      <c r="F8" s="54">
        <f>C8+D8+E8</f>
        <v>93.33</v>
      </c>
      <c r="G8" s="54">
        <v>0</v>
      </c>
    </row>
    <row r="10" spans="1:7">
      <c r="C10" s="69"/>
      <c r="D10" s="69"/>
      <c r="E10" s="69"/>
      <c r="F10" s="69"/>
    </row>
    <row r="11" spans="1:7">
      <c r="C11" s="69"/>
    </row>
  </sheetData>
  <autoFilter ref="A6:E8"/>
  <mergeCells count="3">
    <mergeCell ref="A6:A7"/>
    <mergeCell ref="B6:B7"/>
    <mergeCell ref="C6:F6"/>
  </mergeCells>
  <printOptions horizontalCentered="1"/>
  <pageMargins left="0" right="0" top="0.196850393700787" bottom="0.59055118110236204" header="0.118110236220472" footer="0.118110236220472"/>
  <pageSetup paperSize="9" scale="84" fitToHeight="2" orientation="portrait" verticalDpi="300" r:id="rId1"/>
  <headerFooter alignWithMargins="0">
    <oddFooter>&amp;LSef Birou C.S.P.,
Biolog Iuliana GRIGORE&amp;RSef Birou D.S.P.,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LABORATOR +AN.PAT-TOTAL</vt:lpstr>
      <vt:lpstr>RADIOLOGIE PARACLINIC</vt:lpstr>
      <vt:lpstr>TOP LABORATOR CRIT.EVALUARE</vt:lpstr>
      <vt:lpstr>TOP LABORATOR -SR EN ISO 15189</vt:lpstr>
      <vt:lpstr>TOP LABORATOR CONTROL EXT</vt:lpstr>
      <vt:lpstr>TOP RADIOLOGIE-CRIT.EVAL</vt:lpstr>
      <vt:lpstr>TOP ECO CLINIC</vt:lpstr>
      <vt:lpstr>TOP MED FAM</vt:lpstr>
      <vt:lpstr>ACT.ADIT.DENTARA</vt:lpstr>
      <vt:lpstr>ACT.ADIT.DENTARA!Print_Area</vt:lpstr>
      <vt:lpstr>'LABORATOR +AN.PAT-TOTAL'!Print_Area</vt:lpstr>
      <vt:lpstr>'RADIOLOGIE PARACLINIC'!Print_Area</vt:lpstr>
      <vt:lpstr>'TOP ECO CLINIC'!Print_Area</vt:lpstr>
      <vt:lpstr>'TOP LABORATOR CONTROL EXT'!Print_Area</vt:lpstr>
      <vt:lpstr>'TOP LABORATOR CRIT.EVALUARE'!Print_Area</vt:lpstr>
      <vt:lpstr>'TOP LABORATOR -SR EN ISO 15189'!Print_Area</vt:lpstr>
      <vt:lpstr>'TOP MED FAM'!Print_Area</vt:lpstr>
      <vt:lpstr>'TOP RADIOLOGIE-CRIT.EVAL'!Print_Area</vt:lpstr>
      <vt:lpstr>ACT.ADIT.DENTARA!Print_Titles</vt:lpstr>
      <vt:lpstr>'LABORATOR +AN.PAT-TOTAL'!Print_Titles</vt:lpstr>
      <vt:lpstr>'RADIOLOGIE PARACLINIC'!Print_Titles</vt:lpstr>
      <vt:lpstr>'TOP ECO CLINIC'!Print_Titles</vt:lpstr>
      <vt:lpstr>'TOP LABORATOR CONTROL EXT'!Print_Titles</vt:lpstr>
      <vt:lpstr>'TOP LABORATOR CRIT.EVALUARE'!Print_Titles</vt:lpstr>
      <vt:lpstr>'TOP LABORATOR -SR EN ISO 15189'!Print_Titles</vt:lpstr>
      <vt:lpstr>'TOP MED FAM'!Print_Titles</vt:lpstr>
      <vt:lpstr>'TOP RADIOLOGIE-CRIT.EVAL'!Print_Titles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COSOREANU</dc:creator>
  <cp:lastModifiedBy>Utilizator</cp:lastModifiedBy>
  <cp:lastPrinted>2015-04-28T13:01:00Z</cp:lastPrinted>
  <dcterms:created xsi:type="dcterms:W3CDTF">1996-10-14T23:33:28Z</dcterms:created>
  <dcterms:modified xsi:type="dcterms:W3CDTF">2015-05-01T10:52:52Z</dcterms:modified>
</cp:coreProperties>
</file>