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256" windowHeight="11172" tabRatio="500" activeTab="0"/>
  </bookViews>
  <sheets>
    <sheet name="Furnizor" sheetId="1" r:id="rId1"/>
    <sheet name="Resurse Umane" sheetId="2" r:id="rId2"/>
    <sheet name="Resurse Tehnice" sheetId="3" r:id="rId3"/>
    <sheet name="Logistica" sheetId="4" r:id="rId4"/>
    <sheet name="Anexa 18A" sheetId="5" r:id="rId5"/>
    <sheet name="Anexa 45" sheetId="6" r:id="rId6"/>
    <sheet name="Punctaj laborator" sheetId="7" state="hidden" r:id="rId7"/>
    <sheet name="Sheet1" sheetId="8" state="hidden" r:id="rId8"/>
    <sheet name="Oferta_investigatii" sheetId="9" r:id="rId9"/>
  </sheets>
  <externalReferences>
    <externalReference r:id="rId12"/>
  </externalReferences>
  <definedNames>
    <definedName name="_xlnm._FilterDatabase" localSheetId="1" hidden="1">'Resurse Umane'!$A$6:$J$22</definedName>
    <definedName name="_xlfn_IFERROR">NA()</definedName>
    <definedName name="Asistent">'Sheet1'!$F$1:$F$2</definedName>
    <definedName name="Biochimist_medical">'Sheet1'!$D$1:$D$2</definedName>
    <definedName name="Biolog_medical">'Sheet1'!$C$1:$C$2</definedName>
    <definedName name="Cat_pers">'[1]Sheet1'!$A$1:$A$9</definedName>
    <definedName name="Chimist_medical">'Sheet1'!$E$1:$E$2</definedName>
    <definedName name="Compart" localSheetId="7">'Sheet1'!$K$1:$K$5</definedName>
    <definedName name="Compart">'[1]Sheet1'!$G$1:$G$5</definedName>
    <definedName name="Hematologie">'[1]Sheet2'!$M$10:$M$11</definedName>
    <definedName name="Medic">'Sheet1'!$B$1:$B$2</definedName>
    <definedName name="person" localSheetId="7">'Sheet1'!$A$1:$A$9</definedName>
    <definedName name="_xlnm.Print_Area" localSheetId="5">'Anexa 45'!$A$1:$L$42</definedName>
    <definedName name="_xlnm.Print_Area" localSheetId="0">'Furnizor'!$A$1:$D$52</definedName>
    <definedName name="_xlnm.Print_Area" localSheetId="3">'Logistica'!$A$1:$F$18</definedName>
    <definedName name="_xlnm.Print_Area" localSheetId="8">'Oferta_investigatii'!$A$1:$F$24</definedName>
    <definedName name="_xlnm.Print_Area" localSheetId="6">'Punctaj laborator'!$A$1:$I$16</definedName>
    <definedName name="_xlnm.Print_Area" localSheetId="2">'Resurse Tehnice'!$A$1:$I$40</definedName>
    <definedName name="_xlnm.Print_Area" localSheetId="1">'Resurse Umane'!$A$1:$J$29</definedName>
    <definedName name="_xlnm.Print_Titles" localSheetId="4">'Anexa 18A'!$1:$5</definedName>
    <definedName name="_xlnm.Print_Titles" localSheetId="2">'Resurse Tehnice'!$2:$8</definedName>
    <definedName name="Tip" localSheetId="7">'Sheet1'!$L$1:$L$6</definedName>
    <definedName name="Tip">'[1]Sheet1'!$H$1:$H$6</definedName>
  </definedNames>
  <calcPr fullCalcOnLoad="1"/>
</workbook>
</file>

<file path=xl/comments1.xml><?xml version="1.0" encoding="utf-8"?>
<comments xmlns="http://schemas.openxmlformats.org/spreadsheetml/2006/main">
  <authors>
    <author>WSCT2013</author>
  </authors>
  <commentList>
    <comment ref="B26" authorId="0">
      <text>
        <r>
          <rPr>
            <b/>
            <sz val="9"/>
            <rFont val="Tahoma"/>
            <family val="2"/>
          </rPr>
          <t>WSCT2013:</t>
        </r>
        <r>
          <rPr>
            <sz val="9"/>
            <rFont val="Tahoma"/>
            <family val="2"/>
          </rPr>
          <t xml:space="preserve">
E-mail reprezentant legal</t>
        </r>
      </text>
    </comment>
    <comment ref="C26" authorId="0">
      <text>
        <r>
          <rPr>
            <b/>
            <sz val="9"/>
            <rFont val="Tahoma"/>
            <family val="2"/>
          </rPr>
          <t>WSCT2013:</t>
        </r>
        <r>
          <rPr>
            <sz val="9"/>
            <rFont val="Tahoma"/>
            <family val="2"/>
          </rPr>
          <t xml:space="preserve">
E-mail reprezentant legal</t>
        </r>
      </text>
    </comment>
  </commentList>
</comments>
</file>

<file path=xl/comments3.xml><?xml version="1.0" encoding="utf-8"?>
<comments xmlns="http://schemas.openxmlformats.org/spreadsheetml/2006/main">
  <authors>
    <author>GM</author>
  </authors>
  <commentList>
    <comment ref="F7" authorId="0">
      <text>
        <r>
          <rPr>
            <b/>
            <sz val="8"/>
            <rFont val="Tahoma"/>
            <family val="2"/>
          </rPr>
          <t>GM:</t>
        </r>
        <r>
          <rPr>
            <sz val="8"/>
            <rFont val="Tahoma"/>
            <family val="2"/>
          </rPr>
          <t xml:space="preserve">
Anul care apare inscris si pe fisa tehnica a aparatului</t>
        </r>
      </text>
    </comment>
  </commentList>
</comments>
</file>

<file path=xl/comments5.xml><?xml version="1.0" encoding="utf-8"?>
<comments xmlns="http://schemas.openxmlformats.org/spreadsheetml/2006/main">
  <authors>
    <author> </author>
  </authors>
  <commentList>
    <comment ref="E21" authorId="0">
      <text>
        <r>
          <rPr>
            <b/>
            <sz val="9"/>
            <color indexed="8"/>
            <rFont val="Tahoma"/>
            <family val="2"/>
          </rPr>
          <t xml:space="preserve">WSCT2013:
</t>
        </r>
        <r>
          <rPr>
            <sz val="9"/>
            <color indexed="8"/>
            <rFont val="Tahoma"/>
            <family val="2"/>
          </rPr>
          <t>Datele de valabilitate a avizului de exercitare a profesiei</t>
        </r>
      </text>
    </comment>
  </commentList>
</comments>
</file>

<file path=xl/sharedStrings.xml><?xml version="1.0" encoding="utf-8"?>
<sst xmlns="http://schemas.openxmlformats.org/spreadsheetml/2006/main" count="527" uniqueCount="309">
  <si>
    <t>Contract</t>
  </si>
  <si>
    <t>Reprezentant legal</t>
  </si>
  <si>
    <t>Telefon</t>
  </si>
  <si>
    <t>Email</t>
  </si>
  <si>
    <t>Decizie Evaluare</t>
  </si>
  <si>
    <t>Dovada asig.de raspundere civila</t>
  </si>
  <si>
    <t>Nr.</t>
  </si>
  <si>
    <t>Data eliberarii</t>
  </si>
  <si>
    <t>Data expirarii</t>
  </si>
  <si>
    <t>End</t>
  </si>
  <si>
    <t>Asigurare</t>
  </si>
  <si>
    <t>Furnizori de servicii medicale paraclinice - laborator de analize medicale</t>
  </si>
  <si>
    <t>FORMULAR PRIVIND PERSONALUL MEDICO-SANITAR</t>
  </si>
  <si>
    <t>Punct de lucru*1)</t>
  </si>
  <si>
    <t>MEDICI/CERCETĂTORI ŞTIINŢIFICI ÎN ANATOMIE-PATOLOGICĂ</t>
  </si>
  <si>
    <t>Nr.
crt.</t>
  </si>
  <si>
    <t>Nume si prenume</t>
  </si>
  <si>
    <t>CNP</t>
  </si>
  <si>
    <t>BI/CI - serie si nr.</t>
  </si>
  <si>
    <t xml:space="preserve">Certif. membru CMR              </t>
  </si>
  <si>
    <t>Asigurare de raspundere civila</t>
  </si>
  <si>
    <t>Contract**)</t>
  </si>
  <si>
    <t>Program de lucru</t>
  </si>
  <si>
    <t>Cod parafa</t>
  </si>
  <si>
    <t>Specialitatea/competenţa</t>
  </si>
  <si>
    <t>Specialitatea/competenţa)*</t>
  </si>
  <si>
    <t>Grad profesional</t>
  </si>
  <si>
    <t>Serie</t>
  </si>
  <si>
    <t>Valabila pana la</t>
  </si>
  <si>
    <t xml:space="preserve">Nr. contract </t>
  </si>
  <si>
    <t>Tip contract</t>
  </si>
  <si>
    <t>Certificat</t>
  </si>
  <si>
    <t>Total medici=</t>
  </si>
  <si>
    <t xml:space="preserve">     *) se completează în situaţia în care un medic are mai multe specialităţi paraclinice confirmate prin ordin al ministrului sănătăţii</t>
  </si>
  <si>
    <t>ASISTENŢI MEDICALI DE LABORATOR</t>
  </si>
  <si>
    <t>ASISTENŢI DE CERCETARE ŞTIINŢIFICĂ ÎN ANATOMIE-PATOLOGICĂ</t>
  </si>
  <si>
    <t>ALP/Certificat membru asociaţie profesională</t>
  </si>
  <si>
    <t>Total asistenţi =</t>
  </si>
  <si>
    <t>CHIMIŞTI MEDICALI/CHIMIŞTI</t>
  </si>
  <si>
    <t>Cod parafa(dupa caz)</t>
  </si>
  <si>
    <t>Total chimistii =</t>
  </si>
  <si>
    <t>BIOLOGI MEDICALI/BIOLOGI</t>
  </si>
  <si>
    <t>Total biologi =</t>
  </si>
  <si>
    <t>BIOCHIMIŞTI MEDICALI/BIOCHIMIŞTI</t>
  </si>
  <si>
    <t>Total biochimisti =</t>
  </si>
  <si>
    <t>FARMACIST</t>
  </si>
  <si>
    <t>Total farmacisti =</t>
  </si>
  <si>
    <t xml:space="preserve">    Reprezentant legal: </t>
  </si>
  <si>
    <t xml:space="preserve">    Nume şi prenume : </t>
  </si>
  <si>
    <t xml:space="preserve">    Data întocmirii: </t>
  </si>
  <si>
    <t>Furnizor de servicii medicale paraclinice:</t>
  </si>
  <si>
    <t>Punct de lucru</t>
  </si>
  <si>
    <t>Contract CAS</t>
  </si>
  <si>
    <t>Nr.crt</t>
  </si>
  <si>
    <t>Specialitate</t>
  </si>
  <si>
    <t>Nr.ore/zi</t>
  </si>
  <si>
    <t>Laborator</t>
  </si>
  <si>
    <t>Superioare</t>
  </si>
  <si>
    <t>Da</t>
  </si>
  <si>
    <t>Nu</t>
  </si>
  <si>
    <t>Hematologie</t>
  </si>
  <si>
    <t>Imunologie</t>
  </si>
  <si>
    <t>Microbiologie</t>
  </si>
  <si>
    <t>MM001029004</t>
  </si>
  <si>
    <t>Medicina de laborator</t>
  </si>
  <si>
    <t>Specialist</t>
  </si>
  <si>
    <t>001 L</t>
  </si>
  <si>
    <t>Total puncte</t>
  </si>
  <si>
    <t>Tip aparat</t>
  </si>
  <si>
    <t>Biochimie</t>
  </si>
  <si>
    <t>pct_bun</t>
  </si>
  <si>
    <t>pct</t>
  </si>
  <si>
    <t>verific</t>
  </si>
  <si>
    <t>conditie</t>
  </si>
  <si>
    <t>exista=0</t>
  </si>
  <si>
    <t>Tot_pct</t>
  </si>
  <si>
    <t>Aparat</t>
  </si>
  <si>
    <t>dim proc</t>
  </si>
  <si>
    <t>vechi</t>
  </si>
  <si>
    <t>Vechime ani</t>
  </si>
  <si>
    <t>ISO producator</t>
  </si>
  <si>
    <t>Declaratie conformitate CE</t>
  </si>
  <si>
    <t>An fabricatie</t>
  </si>
  <si>
    <t>Serie si numar</t>
  </si>
  <si>
    <t>Denumire aparat</t>
  </si>
  <si>
    <t>Data</t>
  </si>
  <si>
    <t>Cui</t>
  </si>
  <si>
    <t>Reprezentant legal,</t>
  </si>
  <si>
    <t>Luni</t>
  </si>
  <si>
    <t>Miercuri</t>
  </si>
  <si>
    <t>Joi</t>
  </si>
  <si>
    <t>Vineri</t>
  </si>
  <si>
    <t>Primar</t>
  </si>
  <si>
    <t>Biolog</t>
  </si>
  <si>
    <t>Asistent</t>
  </si>
  <si>
    <t>Resurse umane</t>
  </si>
  <si>
    <t>Grad Profesional / Studii</t>
  </si>
  <si>
    <t>Puncte / norma lucru</t>
  </si>
  <si>
    <t xml:space="preserve">Puncte </t>
  </si>
  <si>
    <t>Biolog_medical</t>
  </si>
  <si>
    <t>Principal</t>
  </si>
  <si>
    <t>Biochimist_medical</t>
  </si>
  <si>
    <t>Medii</t>
  </si>
  <si>
    <t>Chimist</t>
  </si>
  <si>
    <t>Chimist_medical</t>
  </si>
  <si>
    <t>Biochimist</t>
  </si>
  <si>
    <t>Farmacist</t>
  </si>
  <si>
    <t>Histo-Citologie</t>
  </si>
  <si>
    <t>Fara grad</t>
  </si>
  <si>
    <t>Anatomopatologie</t>
  </si>
  <si>
    <t>CIM</t>
  </si>
  <si>
    <t>Pct_asist</t>
  </si>
  <si>
    <t>med</t>
  </si>
  <si>
    <t>bio_chim</t>
  </si>
  <si>
    <t>bio_chim_simplu</t>
  </si>
  <si>
    <t>norma_BUN</t>
  </si>
  <si>
    <t>Adresa / telefon /email</t>
  </si>
  <si>
    <t>Program de lucru in contract cu casa de asigurari de sanatate**)</t>
  </si>
  <si>
    <t>Marti</t>
  </si>
  <si>
    <t>Sambata</t>
  </si>
  <si>
    <t>Duminica</t>
  </si>
  <si>
    <t>…………</t>
  </si>
  <si>
    <r>
      <t>DECLARA</t>
    </r>
    <r>
      <rPr>
        <b/>
        <sz val="12"/>
        <rFont val="Arial-BoldMT"/>
        <family val="0"/>
      </rPr>
      <t>Ţ</t>
    </r>
    <r>
      <rPr>
        <b/>
        <sz val="12"/>
        <rFont val="Arial"/>
        <family val="2"/>
      </rPr>
      <t>IE DE PROGRAM</t>
    </r>
  </si>
  <si>
    <t>**) pentru medicii de familie se completează distinct programul la cabinet şi programul la domiciliu.</t>
  </si>
  <si>
    <t>Reprezentant legal:</t>
  </si>
  <si>
    <t>semnatura</t>
  </si>
  <si>
    <t>că programul de lucru în contract cu Casa de Asigurări de Sănătate  Constanta se desfăşoară astfel:</t>
  </si>
  <si>
    <t>Sarbatori legale</t>
  </si>
  <si>
    <t>Locatia unde se desfasoara activitatea</t>
  </si>
  <si>
    <t>Sediul social/lucrativ</t>
  </si>
  <si>
    <t xml:space="preserve">*) se va completa în funcţie de nr. de puncte de lucru ale furnizorului, în situaţia în care furnizorul are mai multe puncte de lucru pentru care </t>
  </si>
  <si>
    <t>solicită încheierea contractului cu casa de asigurări de sănătate, acestea se menţionează distinct cu programul de lucru aferent</t>
  </si>
  <si>
    <r>
      <t>Punct de lucru/</t>
    </r>
    <r>
      <rPr>
        <b/>
        <sz val="10"/>
        <rFont val="Arial Narrow"/>
        <family val="2"/>
      </rPr>
      <t>punct secundar de lucru</t>
    </r>
    <r>
      <rPr>
        <sz val="10"/>
        <rFont val="Arial Narrow"/>
        <family val="2"/>
      </rPr>
      <t>*)</t>
    </r>
  </si>
  <si>
    <t xml:space="preserve">Cod Identificare Fiscală </t>
  </si>
  <si>
    <t>Judet</t>
  </si>
  <si>
    <t>Localitate</t>
  </si>
  <si>
    <t>Strada</t>
  </si>
  <si>
    <t>Nr</t>
  </si>
  <si>
    <t>Bl</t>
  </si>
  <si>
    <t>Sc</t>
  </si>
  <si>
    <t>Et</t>
  </si>
  <si>
    <t>Ap</t>
  </si>
  <si>
    <t>Date contact societate</t>
  </si>
  <si>
    <t>Mobil</t>
  </si>
  <si>
    <t>Fix</t>
  </si>
  <si>
    <t>Fax</t>
  </si>
  <si>
    <t>Adresa web</t>
  </si>
  <si>
    <t>Date Bancare</t>
  </si>
  <si>
    <t>Banca</t>
  </si>
  <si>
    <t>Sucursala</t>
  </si>
  <si>
    <t>Cont</t>
  </si>
  <si>
    <t>Nume</t>
  </si>
  <si>
    <t>Prenume</t>
  </si>
  <si>
    <t>Date contact punct de lucru</t>
  </si>
  <si>
    <t>Adresa sediul social / adresa fiscala</t>
  </si>
  <si>
    <t>Adresa sediul lucrativ/punct de lucru</t>
  </si>
  <si>
    <t>Furnizor:</t>
  </si>
  <si>
    <t>Exemplul 1</t>
  </si>
  <si>
    <t>112233</t>
  </si>
  <si>
    <t>Exemplul 2</t>
  </si>
  <si>
    <t>668855</t>
  </si>
  <si>
    <t>Fara_Grad</t>
  </si>
  <si>
    <t>Exemplu 3</t>
  </si>
  <si>
    <t>Exemplu 4</t>
  </si>
  <si>
    <t>Exemplu 5</t>
  </si>
  <si>
    <t>Exemplu 6</t>
  </si>
  <si>
    <t>LXXX</t>
  </si>
  <si>
    <t>Constanta</t>
  </si>
  <si>
    <t>1A</t>
  </si>
  <si>
    <t>0241/XXXXXX</t>
  </si>
  <si>
    <t>societate@email.ro</t>
  </si>
  <si>
    <t>www.domeniu.ro</t>
  </si>
  <si>
    <t>ROXXTREZ2315069XXX000000</t>
  </si>
  <si>
    <t>0700000000000</t>
  </si>
  <si>
    <t>email@repllegal.ro</t>
  </si>
  <si>
    <t>Trezorerie</t>
  </si>
  <si>
    <t>email@pct_lucru_daca_are.ro</t>
  </si>
  <si>
    <t>adresa web pct_lucru daca are</t>
  </si>
  <si>
    <t>15.10.2020</t>
  </si>
  <si>
    <t>21.12.2020</t>
  </si>
  <si>
    <t xml:space="preserve">1 </t>
  </si>
  <si>
    <t>xxxx</t>
  </si>
  <si>
    <t>xxxxx</t>
  </si>
  <si>
    <t>11111</t>
  </si>
  <si>
    <t>nume strada sediu social</t>
  </si>
  <si>
    <t>nume strada punct de lucru</t>
  </si>
  <si>
    <t>07.30-17.00</t>
  </si>
  <si>
    <t xml:space="preserve">în calitate de reprezentant legal, cunoscând că falsul în declaraţii se pedepseşte conform legii, declar pe propria răspundere </t>
  </si>
  <si>
    <t xml:space="preserve">Subsemnatul(a), </t>
  </si>
  <si>
    <t>Nume Repl legal</t>
  </si>
  <si>
    <t>Prenume repl</t>
  </si>
  <si>
    <t xml:space="preserve">punct de lucru  </t>
  </si>
  <si>
    <t xml:space="preserve">Denumire furnizor </t>
  </si>
  <si>
    <t>Sediul social/Adresa fiscală</t>
  </si>
  <si>
    <t>Anexa 45</t>
  </si>
  <si>
    <t>exista</t>
  </si>
  <si>
    <t>Total nr.personal</t>
  </si>
  <si>
    <t>Total puncte:</t>
  </si>
  <si>
    <t>farma</t>
  </si>
  <si>
    <t xml:space="preserve">  B.I./C.I. seria …………... nr......................., </t>
  </si>
  <si>
    <t xml:space="preserve">I. CRITERIU DE EVALUARE </t>
  </si>
  <si>
    <t>1*</t>
  </si>
  <si>
    <t>Transmiterea rezultatelor analizelor de laborator la medicul care a recomandat analizele in maxim 24 de ore:</t>
  </si>
  <si>
    <t>Direct medicului</t>
  </si>
  <si>
    <t>Sistem electronic securizat de consultare a rezultatelor pe internet</t>
  </si>
  <si>
    <t>operaţional - instalat şi cu aparate conectate pentru transmitere de date</t>
  </si>
  <si>
    <t>3 a</t>
  </si>
  <si>
    <t>3b*</t>
  </si>
  <si>
    <t>chestionar de satisfactie a pacientilor(cu obligatia actualizarii semestriale a rezultatelor si afisarea pe site-ul furnizorului)</t>
  </si>
  <si>
    <t>* Punctajul pentru 1* si 3b* se acorda o singura data pentru laboratorul/punctul de lucru pentru care opteaza furnizorul</t>
  </si>
  <si>
    <t>2 pct / punct de lucru</t>
  </si>
  <si>
    <r>
      <rPr>
        <b/>
        <sz val="10"/>
        <color indexed="8"/>
        <rFont val="Arial Narrow"/>
        <family val="2"/>
      </rPr>
      <t>website</t>
    </r>
    <r>
      <rPr>
        <sz val="10"/>
        <color indexed="8"/>
        <rFont val="Arial Narrow"/>
        <family val="2"/>
      </rPr>
      <t xml:space="preserve"> - care să conţină minimum următoarele informaţii: datele de contact – adresa, telefon, fax, mail, pentru laboratoarele/punctele de lucru din structura, orarul de funcţionare, certificări/acreditări</t>
    </r>
  </si>
  <si>
    <r>
      <rPr>
        <b/>
        <sz val="10"/>
        <color indexed="8"/>
        <rFont val="Arial Narrow"/>
        <family val="2"/>
      </rPr>
      <t>software dedicat activităţii de laborator</t>
    </r>
    <r>
      <rPr>
        <sz val="10"/>
        <color indexed="8"/>
        <rFont val="Arial Narrow"/>
        <family val="2"/>
      </rPr>
      <t xml:space="preserve"> - care să conţină înregistrarea şi evidenţa biletelor de  trimitere  (serie  şi  număr  bilet,  CNP-ul/codul unic de asigurare al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
</t>
    </r>
  </si>
  <si>
    <t>Total puncte logistica:</t>
  </si>
  <si>
    <r>
      <t xml:space="preserve">Punctajul este intocmit pe baza documentelor depuse de furnizor la dosarul de contract si pentru care </t>
    </r>
    <r>
      <rPr>
        <b/>
        <sz val="9"/>
        <rFont val="Arial Narrow"/>
        <family val="2"/>
      </rPr>
      <t>reprezentantul legal isi asuma responsabilitatea privind realitatea documentelor si exactitatea datelor</t>
    </r>
  </si>
  <si>
    <t>Puncte logistica</t>
  </si>
  <si>
    <t>Da / Nu</t>
  </si>
  <si>
    <t>Logistica</t>
  </si>
  <si>
    <t>Resurse Umane</t>
  </si>
  <si>
    <t>Resurse Tehnice</t>
  </si>
  <si>
    <t>Criteriul I</t>
  </si>
  <si>
    <t>Criteriul II</t>
  </si>
  <si>
    <t>Control scheme intercomparare</t>
  </si>
  <si>
    <t>SR EN ISO 15189 (Renar)</t>
  </si>
  <si>
    <t>pana la</t>
  </si>
  <si>
    <t>de la</t>
  </si>
  <si>
    <t xml:space="preserve">Registrul unic al cabinetelor medicale </t>
  </si>
  <si>
    <t>Nr:</t>
  </si>
  <si>
    <t>ANEXA 18 A</t>
  </si>
  <si>
    <t>CT</t>
  </si>
  <si>
    <t>32</t>
  </si>
  <si>
    <t>nume prenume</t>
  </si>
  <si>
    <t>KT/12122</t>
  </si>
  <si>
    <t>NOTĂ: Se va completa în mod corespunzător un formular şi pentru farmacist autorizat să lucreze în domeniul medical</t>
  </si>
  <si>
    <t xml:space="preserve">Punctajul este calculat pe baza datelor introduse de catre furnizorul de servicii medicale paraclinice, pentru care reprezentantul legal isi asuma </t>
  </si>
  <si>
    <t>responsabilitatea privind corectitudinea si realitatea acestora</t>
  </si>
  <si>
    <t>Răspundem de legalitatea, realitatea şi exactitatea datelor sus menţionate</t>
  </si>
  <si>
    <t>semnătură electronică extinsă/calificată</t>
  </si>
  <si>
    <t>SC FURNIZOR ANATOMIE PATOLOGICA SRL</t>
  </si>
  <si>
    <t>Medic anatomopatolog</t>
  </si>
  <si>
    <t>Exemplu 7</t>
  </si>
  <si>
    <t>Asistent laborator</t>
  </si>
  <si>
    <t>Citologie</t>
  </si>
  <si>
    <t>Histopatologie</t>
  </si>
  <si>
    <t>Sistem automat de prelucrarea probelor (de la proba pana la bloc de parafina)</t>
  </si>
  <si>
    <t>Sistem de colorare automata a lamelor</t>
  </si>
  <si>
    <t>Procesor de tesuturi - histoprocesor automat fara vacum</t>
  </si>
  <si>
    <t>Procesor de tesuturi - histoprocesor automat cu vacum</t>
  </si>
  <si>
    <t>Aparat coloratie automatizata histochimica</t>
  </si>
  <si>
    <t>Aparat coloratie automatizata imunohistochimie</t>
  </si>
  <si>
    <t>microtom parafina</t>
  </si>
  <si>
    <t>criotom</t>
  </si>
  <si>
    <t>termostat pentru parafina</t>
  </si>
  <si>
    <t>platina sau baie termostatata</t>
  </si>
  <si>
    <t>balanta analitica</t>
  </si>
  <si>
    <t>pH-metru</t>
  </si>
  <si>
    <t>masa absorbanta pentru vapori toxici</t>
  </si>
  <si>
    <t>baterie colorare manuala hematoxilina-eozina</t>
  </si>
  <si>
    <t>baterie manuala pentru imunohistochimie</t>
  </si>
  <si>
    <t>Microscop</t>
  </si>
  <si>
    <t>Examinare in lumina polarizata/UV</t>
  </si>
  <si>
    <t xml:space="preserve"> aaaaa</t>
  </si>
  <si>
    <t>Nr.microscoape</t>
  </si>
  <si>
    <t>Detinere aparat</t>
  </si>
  <si>
    <t>aaaa</t>
  </si>
  <si>
    <t>bbb</t>
  </si>
  <si>
    <t>xxx</t>
  </si>
  <si>
    <t>Puncte histopatologie</t>
  </si>
  <si>
    <t>Puncte citologie</t>
  </si>
  <si>
    <t>Total aparate</t>
  </si>
  <si>
    <t>Nr.aparate histologie</t>
  </si>
  <si>
    <t>ccc</t>
  </si>
  <si>
    <t>070daca are</t>
  </si>
  <si>
    <t>dddde</t>
  </si>
  <si>
    <t xml:space="preserve">NOTA: Se va completa conform specificatiilor tehnice ale aparatelor (Fisa Tehnica) ; </t>
  </si>
  <si>
    <t>Furnizori de servicii medicale în asistenţa medicală de specialitate din ambulatoriu pentru specialităţile paraclinice</t>
  </si>
  <si>
    <t>Sediu social</t>
  </si>
  <si>
    <t>Nr crt</t>
  </si>
  <si>
    <t>Cod</t>
  </si>
  <si>
    <t>Denumirea analizei de laborator</t>
  </si>
  <si>
    <t>Tarif decontat de CAS - lei -</t>
  </si>
  <si>
    <t>Nr.estimat servicii ofertate</t>
  </si>
  <si>
    <t>Valoare estimata</t>
  </si>
  <si>
    <t>1</t>
  </si>
  <si>
    <t xml:space="preserve">Examen histopatologic procedura completa HE* si coloratii speciale(1-3 blocuri) *7)                  </t>
  </si>
  <si>
    <t xml:space="preserve">Examen histopatologic procedura completa HE* si coloratii speciale(4-6 blocuri) *7)                  </t>
  </si>
  <si>
    <t>2.9030</t>
  </si>
  <si>
    <t>Teste imunohistochimice *)</t>
  </si>
  <si>
    <t>200/set</t>
  </si>
  <si>
    <t>2.9022</t>
  </si>
  <si>
    <t xml:space="preserve">Citodiagnostic sputa prin incluzii la parafina (1-3 blocuri)          </t>
  </si>
  <si>
    <t>2.9160</t>
  </si>
  <si>
    <t>2.9025</t>
  </si>
  <si>
    <t xml:space="preserve">Citodiagnostic lichid de puncție                        </t>
  </si>
  <si>
    <t>Total</t>
  </si>
  <si>
    <t>X</t>
  </si>
  <si>
    <t>Data întocmirii</t>
  </si>
  <si>
    <t xml:space="preserve">    Răspundem de corectitudinea şi exactitatea datelor</t>
  </si>
  <si>
    <t xml:space="preserve">    Reprezentant legal,</t>
  </si>
  <si>
    <t>Examinari citologice si histopatologice</t>
  </si>
  <si>
    <t>2.90211</t>
  </si>
  <si>
    <t>2.90212</t>
  </si>
  <si>
    <t>2.90101</t>
  </si>
  <si>
    <t xml:space="preserve">Examen histopatologic procedura completa HE*(4-6 blocuri)             </t>
  </si>
  <si>
    <t xml:space="preserve">Examen histopatologic procedura completa HE*(1-3 blocuri)              </t>
  </si>
  <si>
    <t>2.90102</t>
  </si>
  <si>
    <t xml:space="preserve">Examen citologic cervico-vaginal Babes-Papanicolau      </t>
  </si>
  <si>
    <t>1122</t>
  </si>
  <si>
    <t>000124</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</si>
</sst>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yy"/>
    <numFmt numFmtId="181" formatCode="dd/mm/yyyy"/>
    <numFmt numFmtId="182" formatCode="0;[Red]0"/>
    <numFmt numFmtId="183" formatCode="dd/mm/yyyy;@"/>
    <numFmt numFmtId="184" formatCode="dd\.mm\.yyyy;@"/>
    <numFmt numFmtId="185" formatCode="0.0"/>
    <numFmt numFmtId="186" formatCode="dd/mm/yy"/>
    <numFmt numFmtId="187" formatCode="d\ mmmm\ yyyy;@"/>
    <numFmt numFmtId="188" formatCode="[$-418]d\ mmmm\ yyyy"/>
    <numFmt numFmtId="189" formatCode="[$-418]d\ mmmm\ yyyy;@"/>
    <numFmt numFmtId="190" formatCode="h:mm;@"/>
    <numFmt numFmtId="191" formatCode="d/m/yyyy;@"/>
    <numFmt numFmtId="192" formatCode="#,##0.0"/>
    <numFmt numFmtId="193" formatCode="0.00_ ;[Red]\-0.00\ "/>
    <numFmt numFmtId="194" formatCode="mmm/yyyy"/>
    <numFmt numFmtId="195" formatCode="&quot;Yes&quot;;&quot;Yes&quot;;&quot;No&quot;"/>
    <numFmt numFmtId="196" formatCode="&quot;True&quot;;&quot;True&quot;;&quot;False&quot;"/>
    <numFmt numFmtId="197" formatCode="&quot;On&quot;;&quot;On&quot;;&quot;Off&quot;"/>
    <numFmt numFmtId="198" formatCode="[$€-2]\ #,##0.00_);[Red]\([$€-2]\ #,##0.00\)"/>
    <numFmt numFmtId="199" formatCode="#,##0.000000"/>
  </numFmts>
  <fonts count="67">
    <font>
      <sz val="10"/>
      <name val="Arial"/>
      <family val="2"/>
    </font>
    <font>
      <sz val="10"/>
      <name val="Arial Narrow"/>
      <family val="2"/>
    </font>
    <font>
      <u val="single"/>
      <sz val="10"/>
      <color indexed="12"/>
      <name val="Arial"/>
      <family val="2"/>
    </font>
    <font>
      <b/>
      <sz val="9"/>
      <color indexed="8"/>
      <name val="Tahoma"/>
      <family val="2"/>
    </font>
    <font>
      <sz val="9"/>
      <color indexed="8"/>
      <name val="Tahoma"/>
      <family val="2"/>
    </font>
    <font>
      <b/>
      <sz val="10"/>
      <name val="Arial Narrow"/>
      <family val="2"/>
    </font>
    <font>
      <sz val="8"/>
      <name val="Arial"/>
      <family val="2"/>
    </font>
    <font>
      <sz val="9"/>
      <name val="Arial"/>
      <family val="2"/>
    </font>
    <font>
      <sz val="8"/>
      <name val="Arial Narrow"/>
      <family val="2"/>
    </font>
    <font>
      <sz val="8"/>
      <color indexed="8"/>
      <name val="Arial Narrow"/>
      <family val="2"/>
    </font>
    <font>
      <sz val="9"/>
      <name val="Arial Narrow"/>
      <family val="2"/>
    </font>
    <font>
      <b/>
      <sz val="8"/>
      <name val="Tahoma"/>
      <family val="2"/>
    </font>
    <font>
      <sz val="8"/>
      <name val="Tahoma"/>
      <family val="2"/>
    </font>
    <font>
      <sz val="12"/>
      <name val="Times New Roman"/>
      <family val="1"/>
    </font>
    <font>
      <b/>
      <sz val="12"/>
      <name val="Arial"/>
      <family val="2"/>
    </font>
    <font>
      <b/>
      <sz val="12"/>
      <name val="Arial-BoldMT"/>
      <family val="0"/>
    </font>
    <font>
      <sz val="12"/>
      <name val="Arial"/>
      <family val="2"/>
    </font>
    <font>
      <sz val="9"/>
      <name val="Tahoma"/>
      <family val="2"/>
    </font>
    <font>
      <b/>
      <sz val="9"/>
      <name val="Tahoma"/>
      <family val="2"/>
    </font>
    <font>
      <b/>
      <sz val="9"/>
      <name val="Arial Narrow"/>
      <family val="2"/>
    </font>
    <font>
      <sz val="11"/>
      <name val="Times New Roman"/>
      <family val="1"/>
    </font>
    <font>
      <sz val="10"/>
      <color indexed="8"/>
      <name val="Arial Narrow"/>
      <family val="2"/>
    </font>
    <font>
      <b/>
      <sz val="10"/>
      <color indexed="8"/>
      <name val="Arial Narrow"/>
      <family val="2"/>
    </font>
    <font>
      <b/>
      <sz val="11"/>
      <name val="Arial Narrow"/>
      <family val="2"/>
    </font>
    <font>
      <u val="single"/>
      <sz val="10"/>
      <color indexed="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Narrow"/>
      <family val="2"/>
    </font>
    <font>
      <sz val="10"/>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Narrow"/>
      <family val="2"/>
    </font>
    <font>
      <sz val="10"/>
      <color rgb="FF0000FF"/>
      <name val="Arial Narrow"/>
      <family val="2"/>
    </font>
    <font>
      <sz val="10"/>
      <color theme="1"/>
      <name val="Arial Narrow"/>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99">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Fill="1" applyAlignment="1" applyProtection="1">
      <alignment/>
      <protection locked="0"/>
    </xf>
    <xf numFmtId="0" fontId="1" fillId="0" borderId="0" xfId="0" applyFont="1" applyFill="1" applyAlignment="1" applyProtection="1">
      <alignment horizontal="center"/>
      <protection locked="0"/>
    </xf>
    <xf numFmtId="0" fontId="1" fillId="0" borderId="0" xfId="0" applyFont="1" applyAlignment="1" applyProtection="1">
      <alignment vertical="center"/>
      <protection locked="0"/>
    </xf>
    <xf numFmtId="180" fontId="1" fillId="0" borderId="0" xfId="0" applyNumberFormat="1" applyFont="1" applyFill="1" applyAlignment="1" applyProtection="1">
      <alignment/>
      <protection locked="0"/>
    </xf>
    <xf numFmtId="0" fontId="5" fillId="0" borderId="0" xfId="0" applyFont="1" applyAlignment="1" applyProtection="1">
      <alignment horizontal="right" vertical="center"/>
      <protection locked="0"/>
    </xf>
    <xf numFmtId="4" fontId="1" fillId="0" borderId="0" xfId="0" applyNumberFormat="1" applyFont="1" applyAlignment="1" applyProtection="1">
      <alignment horizontal="center"/>
      <protection hidden="1"/>
    </xf>
    <xf numFmtId="0" fontId="5"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0" xfId="0"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184" fontId="1" fillId="0" borderId="10" xfId="0" applyNumberFormat="1" applyFont="1" applyFill="1" applyBorder="1" applyAlignment="1" applyProtection="1">
      <alignment horizontal="center" vertical="center"/>
      <protection locked="0"/>
    </xf>
    <xf numFmtId="49" fontId="1" fillId="0" borderId="10" xfId="0" applyNumberFormat="1" applyFont="1" applyBorder="1" applyAlignment="1" applyProtection="1">
      <alignment horizontal="center"/>
      <protection locked="0"/>
    </xf>
    <xf numFmtId="2" fontId="1" fillId="0" borderId="10" xfId="0" applyNumberFormat="1" applyFont="1" applyFill="1" applyBorder="1" applyAlignment="1" applyProtection="1">
      <alignment horizontal="center" vertical="center" wrapText="1"/>
      <protection locked="0"/>
    </xf>
    <xf numFmtId="180" fontId="1" fillId="0" borderId="0" xfId="0" applyNumberFormat="1" applyFont="1" applyFill="1" applyAlignment="1" applyProtection="1">
      <alignment horizontal="center"/>
      <protection locked="0"/>
    </xf>
    <xf numFmtId="1" fontId="1" fillId="0" borderId="10"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vertical="center"/>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184" fontId="1" fillId="0" borderId="0" xfId="0" applyNumberFormat="1" applyFont="1" applyFill="1" applyBorder="1" applyAlignment="1" applyProtection="1">
      <alignment horizontal="center" vertical="center"/>
      <protection locked="0"/>
    </xf>
    <xf numFmtId="1"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top" wrapText="1"/>
      <protection locked="0"/>
    </xf>
    <xf numFmtId="0" fontId="1"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0" xfId="0" applyFont="1" applyAlignment="1" applyProtection="1">
      <alignment/>
      <protection locked="0"/>
    </xf>
    <xf numFmtId="1" fontId="1" fillId="0" borderId="10"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wrapText="1"/>
      <protection locked="0"/>
    </xf>
    <xf numFmtId="2" fontId="1" fillId="0" borderId="11"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center" wrapText="1"/>
      <protection locked="0"/>
    </xf>
    <xf numFmtId="2" fontId="1" fillId="0" borderId="0" xfId="0" applyNumberFormat="1" applyFont="1" applyBorder="1" applyAlignment="1" applyProtection="1">
      <alignment horizontal="center"/>
      <protection locked="0"/>
    </xf>
    <xf numFmtId="0" fontId="1" fillId="0" borderId="10" xfId="0" applyFont="1" applyBorder="1" applyAlignment="1" applyProtection="1">
      <alignment horizontal="center" vertical="center"/>
      <protection locked="0"/>
    </xf>
    <xf numFmtId="1" fontId="1" fillId="0" borderId="10" xfId="0" applyNumberFormat="1" applyFont="1" applyBorder="1" applyAlignment="1" applyProtection="1">
      <alignment horizontal="center" vertical="center"/>
      <protection locked="0"/>
    </xf>
    <xf numFmtId="0" fontId="1" fillId="33" borderId="10" xfId="0" applyFont="1" applyFill="1" applyBorder="1" applyAlignment="1" applyProtection="1">
      <alignment horizontal="center"/>
      <protection locked="0"/>
    </xf>
    <xf numFmtId="1" fontId="1" fillId="33" borderId="10" xfId="0" applyNumberFormat="1" applyFont="1" applyFill="1" applyBorder="1" applyAlignment="1" applyProtection="1">
      <alignment horizontal="center"/>
      <protection locked="0"/>
    </xf>
    <xf numFmtId="2" fontId="1" fillId="0" borderId="0" xfId="0" applyNumberFormat="1" applyFont="1" applyAlignment="1" applyProtection="1">
      <alignment horizontal="center"/>
      <protection locked="0"/>
    </xf>
    <xf numFmtId="182" fontId="1" fillId="0" borderId="10" xfId="0" applyNumberFormat="1" applyFont="1" applyBorder="1" applyAlignment="1" applyProtection="1">
      <alignment horizontal="center"/>
      <protection locked="0"/>
    </xf>
    <xf numFmtId="0" fontId="1" fillId="0" borderId="0" xfId="0" applyFont="1" applyAlignment="1" applyProtection="1">
      <alignment horizontal="left" vertical="center"/>
      <protection locked="0"/>
    </xf>
    <xf numFmtId="180" fontId="1" fillId="0" borderId="0" xfId="0" applyNumberFormat="1" applyFont="1" applyAlignment="1" applyProtection="1">
      <alignment horizontal="left"/>
      <protection hidden="1"/>
    </xf>
    <xf numFmtId="0" fontId="1" fillId="0" borderId="0" xfId="0" applyNumberFormat="1" applyFont="1" applyAlignment="1" applyProtection="1">
      <alignment horizontal="center"/>
      <protection hidden="1"/>
    </xf>
    <xf numFmtId="0" fontId="1" fillId="0" borderId="0" xfId="0" applyNumberFormat="1" applyFont="1" applyAlignment="1" applyProtection="1">
      <alignment horizontal="left"/>
      <protection hidden="1"/>
    </xf>
    <xf numFmtId="0" fontId="1" fillId="0" borderId="0" xfId="0" applyFont="1" applyAlignment="1" applyProtection="1">
      <alignment horizontal="center" vertical="center"/>
      <protection locked="0"/>
    </xf>
    <xf numFmtId="14" fontId="1" fillId="0" borderId="0" xfId="0" applyNumberFormat="1" applyFont="1" applyAlignment="1" applyProtection="1">
      <alignment/>
      <protection locked="0"/>
    </xf>
    <xf numFmtId="0" fontId="1" fillId="0" borderId="12" xfId="0"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0" fontId="1" fillId="0" borderId="0" xfId="57" applyFont="1">
      <alignment/>
      <protection/>
    </xf>
    <xf numFmtId="0" fontId="1" fillId="0" borderId="0" xfId="57" applyFont="1" applyAlignment="1">
      <alignment horizontal="center"/>
      <protection/>
    </xf>
    <xf numFmtId="0" fontId="1" fillId="0" borderId="0" xfId="59" applyFont="1">
      <alignment/>
      <protection/>
    </xf>
    <xf numFmtId="0" fontId="1" fillId="0" borderId="0" xfId="59" applyFont="1" applyAlignment="1">
      <alignment horizontal="center"/>
      <protection/>
    </xf>
    <xf numFmtId="0" fontId="10" fillId="0" borderId="0" xfId="57" applyFont="1">
      <alignment/>
      <protection/>
    </xf>
    <xf numFmtId="0" fontId="10" fillId="0" borderId="0" xfId="57" applyFont="1" applyAlignment="1">
      <alignment horizontal="center"/>
      <protection/>
    </xf>
    <xf numFmtId="0" fontId="63" fillId="0" borderId="0" xfId="57" applyFont="1" applyAlignment="1">
      <alignment horizontal="center"/>
      <protection/>
    </xf>
    <xf numFmtId="0" fontId="10" fillId="0" borderId="12" xfId="59" applyFont="1" applyBorder="1" applyAlignment="1" applyProtection="1">
      <alignment horizontal="center" vertical="center" wrapText="1"/>
      <protection locked="0"/>
    </xf>
    <xf numFmtId="0" fontId="10" fillId="0" borderId="12" xfId="59" applyFont="1" applyFill="1" applyBorder="1" applyAlignment="1" applyProtection="1">
      <alignment horizontal="center" vertical="center" wrapText="1"/>
      <protection hidden="1"/>
    </xf>
    <xf numFmtId="0" fontId="1" fillId="0" borderId="12" xfId="59" applyFont="1" applyBorder="1" applyAlignment="1" applyProtection="1">
      <alignment horizontal="center" vertical="center"/>
      <protection hidden="1"/>
    </xf>
    <xf numFmtId="0" fontId="1" fillId="0" borderId="12" xfId="59" applyFont="1" applyFill="1" applyBorder="1" applyAlignment="1" applyProtection="1">
      <alignment horizontal="center" vertical="center"/>
      <protection hidden="1"/>
    </xf>
    <xf numFmtId="0" fontId="1" fillId="0" borderId="0" xfId="57" applyFont="1" applyFill="1" applyBorder="1" applyAlignment="1" applyProtection="1">
      <alignment horizontal="center" vertical="center" wrapText="1"/>
      <protection hidden="1"/>
    </xf>
    <xf numFmtId="0" fontId="1" fillId="0" borderId="0" xfId="57" applyFont="1" applyBorder="1" applyAlignment="1">
      <alignment horizontal="center"/>
      <protection/>
    </xf>
    <xf numFmtId="0" fontId="1" fillId="0" borderId="0" xfId="57" applyFont="1" applyFill="1" applyBorder="1" applyAlignment="1">
      <alignment horizontal="center"/>
      <protection/>
    </xf>
    <xf numFmtId="0" fontId="1" fillId="0" borderId="0" xfId="57" applyFont="1" applyAlignment="1">
      <alignment horizontal="center" vertical="center"/>
      <protection/>
    </xf>
    <xf numFmtId="0" fontId="5" fillId="0" borderId="0" xfId="57" applyFont="1" applyAlignment="1" applyProtection="1">
      <alignment horizontal="center"/>
      <protection locked="0"/>
    </xf>
    <xf numFmtId="49" fontId="1" fillId="0" borderId="0" xfId="57" applyNumberFormat="1" applyFont="1" applyFill="1" applyBorder="1" applyAlignment="1">
      <alignment horizontal="left" vertical="center"/>
      <protection/>
    </xf>
    <xf numFmtId="0" fontId="1" fillId="0" borderId="0" xfId="57" applyFont="1" applyProtection="1">
      <alignment/>
      <protection locked="0"/>
    </xf>
    <xf numFmtId="0" fontId="1" fillId="0" borderId="0" xfId="57" applyFont="1" applyAlignment="1" applyProtection="1">
      <alignment horizontal="center"/>
      <protection locked="0"/>
    </xf>
    <xf numFmtId="0" fontId="1" fillId="0" borderId="0" xfId="57" applyFont="1" applyAlignment="1" applyProtection="1">
      <alignment horizontal="center"/>
      <protection hidden="1"/>
    </xf>
    <xf numFmtId="0" fontId="1" fillId="0" borderId="0" xfId="57" applyFont="1" applyFill="1" applyProtection="1">
      <alignment/>
      <protection locked="0"/>
    </xf>
    <xf numFmtId="0" fontId="1" fillId="0" borderId="0" xfId="57" applyFont="1" applyFill="1" applyBorder="1" applyAlignment="1" applyProtection="1">
      <alignment horizontal="center" vertical="center" wrapText="1"/>
      <protection locked="0"/>
    </xf>
    <xf numFmtId="0" fontId="1" fillId="0" borderId="0" xfId="57" applyNumberFormat="1" applyFont="1" applyAlignment="1" applyProtection="1">
      <alignment horizontal="center"/>
      <protection hidden="1"/>
    </xf>
    <xf numFmtId="193" fontId="64" fillId="0" borderId="0" xfId="57" applyNumberFormat="1" applyFont="1" applyFill="1" applyAlignment="1" applyProtection="1">
      <alignment horizontal="center"/>
      <protection locked="0"/>
    </xf>
    <xf numFmtId="14" fontId="64" fillId="0" borderId="0" xfId="57" applyNumberFormat="1" applyFont="1" applyFill="1" applyAlignment="1" applyProtection="1">
      <alignment horizontal="center"/>
      <protection locked="0"/>
    </xf>
    <xf numFmtId="0" fontId="64" fillId="0" borderId="0" xfId="57" applyFont="1" applyFill="1" applyAlignment="1" applyProtection="1">
      <alignment horizontal="center"/>
      <protection locked="0"/>
    </xf>
    <xf numFmtId="2" fontId="1" fillId="0" borderId="0" xfId="57" applyNumberFormat="1" applyFont="1" applyFill="1" applyAlignment="1" applyProtection="1">
      <alignment vertical="center"/>
      <protection locked="0"/>
    </xf>
    <xf numFmtId="0" fontId="1" fillId="0" borderId="0" xfId="57" applyFont="1" applyFill="1" applyAlignment="1" applyProtection="1">
      <alignment vertical="center"/>
      <protection locked="0"/>
    </xf>
    <xf numFmtId="0" fontId="1" fillId="0" borderId="0" xfId="57" applyFont="1" applyFill="1" applyAlignment="1" applyProtection="1">
      <alignment horizontal="center" vertical="center"/>
      <protection locked="0"/>
    </xf>
    <xf numFmtId="0" fontId="0" fillId="0" borderId="0" xfId="57">
      <alignment/>
      <protection/>
    </xf>
    <xf numFmtId="2" fontId="1" fillId="0" borderId="0" xfId="0" applyNumberFormat="1" applyFont="1" applyAlignment="1" applyProtection="1">
      <alignment horizontal="center" vertical="center"/>
      <protection locked="0"/>
    </xf>
    <xf numFmtId="18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protection locked="0"/>
    </xf>
    <xf numFmtId="0" fontId="1" fillId="0"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vertical="center"/>
      <protection locked="0"/>
    </xf>
    <xf numFmtId="183" fontId="1" fillId="0" borderId="12" xfId="0" applyNumberFormat="1" applyFont="1" applyBorder="1" applyAlignment="1" applyProtection="1">
      <alignment horizontal="center" vertical="center"/>
      <protection locked="0"/>
    </xf>
    <xf numFmtId="184" fontId="1" fillId="0" borderId="12" xfId="0" applyNumberFormat="1" applyFont="1" applyFill="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2" fontId="1" fillId="0" borderId="12" xfId="0" applyNumberFormat="1" applyFont="1" applyFill="1" applyBorder="1" applyAlignment="1" applyProtection="1">
      <alignment horizontal="center" vertical="center" wrapText="1"/>
      <protection locked="0"/>
    </xf>
    <xf numFmtId="1" fontId="1" fillId="0" borderId="12"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184" fontId="1" fillId="0" borderId="12" xfId="0" applyNumberFormat="1" applyFont="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wrapText="1"/>
      <protection locked="0"/>
    </xf>
    <xf numFmtId="1" fontId="1" fillId="0" borderId="12" xfId="0" applyNumberFormat="1" applyFont="1" applyBorder="1" applyAlignment="1" applyProtection="1">
      <alignment horizontal="center" vertical="center"/>
      <protection locked="0"/>
    </xf>
    <xf numFmtId="0" fontId="10" fillId="0" borderId="12" xfId="59" applyFont="1" applyBorder="1" applyAlignment="1" applyProtection="1">
      <alignment horizontal="center" vertical="center" wrapText="1"/>
      <protection locked="0"/>
    </xf>
    <xf numFmtId="0" fontId="10" fillId="0" borderId="12" xfId="59" applyFont="1" applyBorder="1" applyAlignment="1" applyProtection="1">
      <alignment horizontal="center" vertical="center"/>
      <protection locked="0"/>
    </xf>
    <xf numFmtId="4" fontId="1" fillId="0" borderId="12" xfId="57" applyNumberFormat="1" applyFont="1" applyBorder="1" applyAlignment="1" applyProtection="1">
      <alignment horizontal="center" vertical="center"/>
      <protection hidden="1"/>
    </xf>
    <xf numFmtId="4" fontId="1" fillId="0" borderId="0" xfId="57" applyNumberFormat="1" applyFont="1" applyFill="1" applyBorder="1" applyAlignment="1">
      <alignment horizontal="center" vertical="center"/>
      <protection/>
    </xf>
    <xf numFmtId="1" fontId="1" fillId="0" borderId="0" xfId="57" applyNumberFormat="1" applyFont="1" applyBorder="1" applyAlignment="1">
      <alignment horizontal="center" vertical="center"/>
      <protection/>
    </xf>
    <xf numFmtId="1" fontId="1" fillId="0" borderId="0" xfId="57" applyNumberFormat="1" applyFont="1" applyAlignment="1">
      <alignment horizontal="center" vertical="center"/>
      <protection/>
    </xf>
    <xf numFmtId="4" fontId="63" fillId="0" borderId="0" xfId="57" applyNumberFormat="1" applyFont="1" applyAlignment="1">
      <alignment horizontal="center" vertical="center"/>
      <protection/>
    </xf>
    <xf numFmtId="0" fontId="63" fillId="0" borderId="0" xfId="57" applyFont="1" applyAlignment="1">
      <alignment horizontal="center" vertical="center"/>
      <protection/>
    </xf>
    <xf numFmtId="4" fontId="1" fillId="0" borderId="0" xfId="57" applyNumberFormat="1" applyFont="1" applyFill="1" applyBorder="1" applyAlignment="1" applyProtection="1">
      <alignment horizontal="center" vertical="center"/>
      <protection hidden="1"/>
    </xf>
    <xf numFmtId="0" fontId="10" fillId="0" borderId="12" xfId="57" applyFont="1" applyBorder="1" applyAlignment="1" applyProtection="1">
      <alignment horizontal="center" vertical="center" wrapText="1"/>
      <protection locked="0"/>
    </xf>
    <xf numFmtId="0" fontId="1" fillId="0" borderId="0" xfId="57" applyFont="1" applyFill="1" applyAlignment="1">
      <alignment horizontal="center" vertical="center"/>
      <protection/>
    </xf>
    <xf numFmtId="0" fontId="1" fillId="0" borderId="12" xfId="59" applyFont="1" applyBorder="1" applyAlignment="1" applyProtection="1">
      <alignment horizontal="center" vertical="center"/>
      <protection locked="0"/>
    </xf>
    <xf numFmtId="0" fontId="10" fillId="0" borderId="12" xfId="58" applyFont="1" applyBorder="1" applyAlignment="1" applyProtection="1">
      <alignment horizontal="center" vertical="center" wrapText="1"/>
      <protection locked="0"/>
    </xf>
    <xf numFmtId="1" fontId="10" fillId="0" borderId="12" xfId="57" applyNumberFormat="1" applyFont="1" applyBorder="1" applyAlignment="1" applyProtection="1">
      <alignment horizontal="center" vertical="center" wrapText="1"/>
      <protection locked="0"/>
    </xf>
    <xf numFmtId="2" fontId="5" fillId="0" borderId="0" xfId="57" applyNumberFormat="1" applyFont="1" applyAlignment="1">
      <alignment horizontal="center" vertical="center"/>
      <protection/>
    </xf>
    <xf numFmtId="0" fontId="1" fillId="0" borderId="0" xfId="0" applyNumberFormat="1" applyFont="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2" fontId="64" fillId="0" borderId="0" xfId="57" applyNumberFormat="1" applyFont="1" applyFill="1" applyAlignment="1" applyProtection="1">
      <alignment horizontal="center"/>
      <protection/>
    </xf>
    <xf numFmtId="14" fontId="1" fillId="0" borderId="0" xfId="0" applyNumberFormat="1" applyFont="1" applyBorder="1" applyAlignment="1" applyProtection="1">
      <alignment/>
      <protection locked="0"/>
    </xf>
    <xf numFmtId="0" fontId="64" fillId="0" borderId="0" xfId="57" applyFont="1" applyFill="1" applyAlignment="1" applyProtection="1">
      <alignment horizontal="center"/>
      <protection/>
    </xf>
    <xf numFmtId="14" fontId="64" fillId="0" borderId="0" xfId="57" applyNumberFormat="1" applyFont="1" applyFill="1" applyProtection="1">
      <alignment/>
      <protection/>
    </xf>
    <xf numFmtId="1" fontId="64" fillId="0" borderId="0" xfId="57" applyNumberFormat="1" applyFont="1" applyBorder="1" applyAlignment="1" applyProtection="1">
      <alignment horizontal="center"/>
      <protection hidden="1"/>
    </xf>
    <xf numFmtId="49" fontId="64" fillId="0" borderId="0" xfId="57" applyNumberFormat="1" applyFont="1" applyBorder="1" applyAlignment="1" applyProtection="1">
      <alignment horizontal="center"/>
      <protection locked="0"/>
    </xf>
    <xf numFmtId="1" fontId="64" fillId="0" borderId="0" xfId="57" applyNumberFormat="1" applyFont="1" applyBorder="1" applyAlignment="1" applyProtection="1">
      <alignment horizontal="center"/>
      <protection locked="0"/>
    </xf>
    <xf numFmtId="49" fontId="1" fillId="0" borderId="0" xfId="57" applyNumberFormat="1" applyFont="1" applyBorder="1" applyAlignment="1" applyProtection="1">
      <alignment horizontal="center"/>
      <protection locked="0"/>
    </xf>
    <xf numFmtId="1" fontId="1" fillId="0" borderId="0" xfId="57" applyNumberFormat="1" applyFont="1" applyBorder="1" applyAlignment="1" applyProtection="1">
      <alignment horizontal="center"/>
      <protection locked="0"/>
    </xf>
    <xf numFmtId="185" fontId="64" fillId="0" borderId="0" xfId="57" applyNumberFormat="1" applyFont="1" applyFill="1" applyBorder="1" applyAlignment="1" applyProtection="1">
      <alignment horizontal="center"/>
      <protection locked="0"/>
    </xf>
    <xf numFmtId="1" fontId="64" fillId="0" borderId="0" xfId="57" applyNumberFormat="1" applyFont="1" applyFill="1" applyBorder="1" applyAlignment="1" applyProtection="1">
      <alignment horizontal="center"/>
      <protection locked="0"/>
    </xf>
    <xf numFmtId="2" fontId="64" fillId="0" borderId="0" xfId="57" applyNumberFormat="1" applyFont="1" applyFill="1" applyBorder="1" applyAlignment="1" applyProtection="1">
      <alignment horizontal="center"/>
      <protection locked="0"/>
    </xf>
    <xf numFmtId="185" fontId="1" fillId="0" borderId="0" xfId="57" applyNumberFormat="1" applyFont="1" applyFill="1" applyBorder="1" applyAlignment="1" applyProtection="1">
      <alignment horizontal="center"/>
      <protection locked="0"/>
    </xf>
    <xf numFmtId="1" fontId="1" fillId="0" borderId="0" xfId="57" applyNumberFormat="1" applyFont="1" applyFill="1" applyBorder="1" applyAlignment="1" applyProtection="1">
      <alignment horizontal="center"/>
      <protection locked="0"/>
    </xf>
    <xf numFmtId="2" fontId="1" fillId="0" borderId="0" xfId="57" applyNumberFormat="1" applyFont="1" applyFill="1" applyBorder="1" applyAlignment="1" applyProtection="1">
      <alignment horizontal="center"/>
      <protection locked="0"/>
    </xf>
    <xf numFmtId="0" fontId="1" fillId="0" borderId="0" xfId="57" applyFont="1" applyFill="1" applyAlignment="1" applyProtection="1">
      <alignment horizontal="center"/>
      <protection locked="0"/>
    </xf>
    <xf numFmtId="0" fontId="1" fillId="0" borderId="0" xfId="0" applyFont="1" applyAlignment="1">
      <alignment/>
    </xf>
    <xf numFmtId="0" fontId="13" fillId="0" borderId="0" xfId="0" applyFont="1" applyAlignment="1">
      <alignment vertical="center"/>
    </xf>
    <xf numFmtId="0" fontId="14" fillId="0" borderId="0" xfId="0" applyFont="1" applyAlignment="1">
      <alignment horizontal="center" vertical="center"/>
    </xf>
    <xf numFmtId="0" fontId="16" fillId="0" borderId="0" xfId="0" applyFont="1" applyAlignment="1">
      <alignment vertical="center"/>
    </xf>
    <xf numFmtId="0" fontId="13" fillId="0" borderId="0" xfId="0" applyFont="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Border="1" applyAlignment="1">
      <alignmen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pplyProtection="1">
      <alignment horizontal="center" vertical="center"/>
      <protection hidden="1"/>
    </xf>
    <xf numFmtId="0" fontId="1" fillId="0" borderId="0" xfId="0" applyFont="1" applyAlignment="1">
      <alignment horizontal="center" vertical="center"/>
    </xf>
    <xf numFmtId="0" fontId="1" fillId="0" borderId="0" xfId="0" applyFont="1" applyAlignment="1">
      <alignment/>
    </xf>
    <xf numFmtId="0" fontId="1" fillId="0" borderId="12" xfId="0" applyFont="1" applyBorder="1" applyAlignment="1">
      <alignment horizontal="left" vertical="center"/>
    </xf>
    <xf numFmtId="0" fontId="1" fillId="0" borderId="12" xfId="0" applyFont="1" applyBorder="1" applyAlignment="1">
      <alignment horizontal="left" vertical="center" wrapText="1"/>
    </xf>
    <xf numFmtId="0" fontId="1" fillId="0" borderId="0" xfId="0" applyNumberFormat="1" applyFont="1" applyAlignment="1">
      <alignment vertical="center"/>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xf>
    <xf numFmtId="0" fontId="5" fillId="0" borderId="0" xfId="0" applyFont="1" applyAlignment="1">
      <alignment horizontal="right"/>
    </xf>
    <xf numFmtId="0" fontId="5" fillId="0" borderId="0" xfId="0" applyFont="1" applyBorder="1" applyAlignment="1">
      <alignment horizontal="right"/>
    </xf>
    <xf numFmtId="14" fontId="5" fillId="0" borderId="0" xfId="0" applyNumberFormat="1" applyFont="1" applyAlignment="1">
      <alignment horizontal="center"/>
    </xf>
    <xf numFmtId="49" fontId="64" fillId="0" borderId="0" xfId="57" applyNumberFormat="1"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57" applyFont="1" applyAlignment="1" applyProtection="1">
      <alignment horizontal="left"/>
      <protection hidden="1"/>
    </xf>
    <xf numFmtId="14" fontId="5" fillId="0" borderId="0" xfId="57" applyNumberFormat="1" applyFont="1" applyAlignment="1" applyProtection="1">
      <alignment horizontal="center"/>
      <protection/>
    </xf>
    <xf numFmtId="0" fontId="1" fillId="0" borderId="0" xfId="57" applyNumberFormat="1" applyFont="1" applyFill="1" applyBorder="1" applyAlignment="1" applyProtection="1">
      <alignment horizontal="center" vertical="center"/>
      <protection/>
    </xf>
    <xf numFmtId="0" fontId="19" fillId="6" borderId="12" xfId="59" applyFont="1" applyFill="1" applyBorder="1" applyAlignment="1" applyProtection="1">
      <alignment horizontal="center" vertical="center" wrapText="1"/>
      <protection hidden="1"/>
    </xf>
    <xf numFmtId="4" fontId="5" fillId="6" borderId="12" xfId="57" applyNumberFormat="1" applyFont="1" applyFill="1" applyBorder="1" applyAlignment="1" applyProtection="1">
      <alignment horizontal="center" vertical="center"/>
      <protection hidden="1"/>
    </xf>
    <xf numFmtId="0" fontId="10" fillId="0" borderId="12" xfId="59" applyFont="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14" fontId="5"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1" fontId="5" fillId="0" borderId="0" xfId="0" applyNumberFormat="1"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0" fillId="0" borderId="0" xfId="0" applyAlignment="1" applyProtection="1">
      <alignment/>
      <protection hidden="1"/>
    </xf>
    <xf numFmtId="14" fontId="0" fillId="0" borderId="0" xfId="0" applyNumberFormat="1" applyAlignment="1" applyProtection="1">
      <alignment horizontal="center"/>
      <protection hidden="1"/>
    </xf>
    <xf numFmtId="14" fontId="1" fillId="0" borderId="0" xfId="0" applyNumberFormat="1" applyFont="1" applyAlignment="1" applyProtection="1">
      <alignment vertical="center"/>
      <protection hidden="1"/>
    </xf>
    <xf numFmtId="0" fontId="13" fillId="0" borderId="0" xfId="0" applyFont="1" applyAlignment="1" applyProtection="1" quotePrefix="1">
      <alignment horizontal="center" vertical="center"/>
      <protection/>
    </xf>
    <xf numFmtId="180" fontId="13" fillId="0" borderId="0" xfId="0" applyNumberFormat="1" applyFont="1" applyAlignment="1" applyProtection="1">
      <alignment horizontal="left"/>
      <protection hidden="1"/>
    </xf>
    <xf numFmtId="0" fontId="20" fillId="0" borderId="0" xfId="0" applyFont="1" applyAlignment="1">
      <alignment vertical="center"/>
    </xf>
    <xf numFmtId="0" fontId="20" fillId="0" borderId="0" xfId="0" applyFont="1" applyAlignment="1">
      <alignment horizontal="left" vertical="center" indent="12"/>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left" vertical="center"/>
    </xf>
    <xf numFmtId="0" fontId="20" fillId="0" borderId="0" xfId="0" applyNumberFormat="1" applyFont="1" applyAlignment="1" applyProtection="1">
      <alignment horizontal="left" vertical="center"/>
      <protection hidden="1"/>
    </xf>
    <xf numFmtId="0" fontId="20" fillId="0" borderId="0" xfId="0" applyFont="1" applyAlignment="1" applyProtection="1">
      <alignment horizontal="center"/>
      <protection hidden="1"/>
    </xf>
    <xf numFmtId="0" fontId="20" fillId="0" borderId="0" xfId="0" applyFont="1" applyAlignment="1" applyProtection="1">
      <alignment horizontal="left" vertical="center"/>
      <protection hidden="1"/>
    </xf>
    <xf numFmtId="0" fontId="1" fillId="0" borderId="0" xfId="57" applyFont="1" applyAlignment="1" applyProtection="1">
      <alignment horizontal="left" vertical="center"/>
      <protection hidden="1"/>
    </xf>
    <xf numFmtId="0" fontId="64" fillId="0" borderId="0" xfId="57" applyNumberFormat="1" applyFont="1" applyBorder="1" applyAlignment="1" applyProtection="1">
      <alignment horizontal="left"/>
      <protection hidden="1"/>
    </xf>
    <xf numFmtId="1" fontId="64" fillId="0" borderId="12" xfId="57" applyNumberFormat="1" applyFont="1" applyBorder="1" applyAlignment="1" applyProtection="1">
      <alignment horizontal="center"/>
      <protection hidden="1" locked="0"/>
    </xf>
    <xf numFmtId="0" fontId="64" fillId="0" borderId="12" xfId="57" applyNumberFormat="1" applyFont="1" applyFill="1" applyBorder="1" applyAlignment="1" applyProtection="1">
      <alignment horizontal="center" vertical="center"/>
      <protection hidden="1" locked="0"/>
    </xf>
    <xf numFmtId="49" fontId="64" fillId="0" borderId="12" xfId="57" applyNumberFormat="1" applyFont="1" applyFill="1" applyBorder="1" applyAlignment="1" applyProtection="1">
      <alignment horizontal="center" vertical="center"/>
      <protection hidden="1" locked="0"/>
    </xf>
    <xf numFmtId="192" fontId="64" fillId="0" borderId="12" xfId="57" applyNumberFormat="1" applyFont="1" applyBorder="1" applyAlignment="1" applyProtection="1">
      <alignment horizontal="center"/>
      <protection hidden="1" locked="0"/>
    </xf>
    <xf numFmtId="1" fontId="64" fillId="0" borderId="12" xfId="57" applyNumberFormat="1" applyFont="1" applyFill="1" applyBorder="1" applyAlignment="1" applyProtection="1">
      <alignment horizontal="center"/>
      <protection hidden="1" locked="0"/>
    </xf>
    <xf numFmtId="192" fontId="64" fillId="0" borderId="12" xfId="57" applyNumberFormat="1" applyFont="1" applyFill="1" applyBorder="1" applyAlignment="1" applyProtection="1">
      <alignment horizontal="center"/>
      <protection hidden="1" locked="0"/>
    </xf>
    <xf numFmtId="0" fontId="64" fillId="0" borderId="12" xfId="57" applyFont="1" applyFill="1" applyBorder="1" applyAlignment="1" applyProtection="1">
      <alignment horizontal="center"/>
      <protection hidden="1" locked="0"/>
    </xf>
    <xf numFmtId="49" fontId="64" fillId="0" borderId="12" xfId="57" applyNumberFormat="1" applyFont="1" applyFill="1" applyBorder="1" applyAlignment="1" applyProtection="1">
      <alignment horizontal="center"/>
      <protection hidden="1" locked="0"/>
    </xf>
    <xf numFmtId="0" fontId="64" fillId="0" borderId="12" xfId="57" applyFont="1" applyFill="1" applyBorder="1" applyAlignment="1" applyProtection="1">
      <alignment horizontal="center" vertical="center"/>
      <protection hidden="1" locked="0"/>
    </xf>
    <xf numFmtId="185" fontId="64" fillId="0" borderId="12" xfId="57" applyNumberFormat="1" applyFont="1" applyFill="1" applyBorder="1" applyAlignment="1" applyProtection="1">
      <alignment horizontal="center"/>
      <protection hidden="1" locked="0"/>
    </xf>
    <xf numFmtId="0" fontId="5" fillId="0" borderId="12"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1" fontId="1" fillId="0" borderId="12" xfId="0" applyNumberFormat="1" applyFont="1" applyBorder="1" applyAlignment="1" applyProtection="1">
      <alignment horizontal="left" vertical="center"/>
      <protection locked="0"/>
    </xf>
    <xf numFmtId="14" fontId="1" fillId="0" borderId="12" xfId="0" applyNumberFormat="1" applyFont="1" applyBorder="1" applyAlignment="1" applyProtection="1">
      <alignment horizontal="left" vertical="center"/>
      <protection locked="0"/>
    </xf>
    <xf numFmtId="0" fontId="1" fillId="0" borderId="12" xfId="0" applyFont="1" applyBorder="1" applyAlignment="1" applyProtection="1">
      <alignment horizontal="left" vertical="center" wrapText="1"/>
      <protection/>
    </xf>
    <xf numFmtId="0" fontId="1" fillId="0" borderId="12" xfId="0" applyFont="1" applyBorder="1" applyAlignment="1" applyProtection="1">
      <alignment horizontal="left" vertical="center"/>
      <protection/>
    </xf>
    <xf numFmtId="2" fontId="64" fillId="0" borderId="12" xfId="57" applyNumberFormat="1" applyFont="1" applyBorder="1" applyAlignment="1" applyProtection="1">
      <alignment horizontal="center"/>
      <protection hidden="1"/>
    </xf>
    <xf numFmtId="0" fontId="7" fillId="0" borderId="12"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4" fillId="0" borderId="12" xfId="57" applyNumberFormat="1" applyFont="1" applyBorder="1" applyAlignment="1" applyProtection="1">
      <alignment horizontal="center"/>
      <protection hidden="1" locked="0"/>
    </xf>
    <xf numFmtId="1" fontId="64" fillId="0" borderId="0" xfId="57" applyNumberFormat="1" applyFont="1" applyFill="1" applyAlignment="1" applyProtection="1">
      <alignment horizontal="center"/>
      <protection/>
    </xf>
    <xf numFmtId="0" fontId="64" fillId="0" borderId="0" xfId="57" applyNumberFormat="1" applyFont="1" applyBorder="1" applyAlignment="1" applyProtection="1">
      <alignment horizontal="center"/>
      <protection hidden="1" locked="0"/>
    </xf>
    <xf numFmtId="0" fontId="64" fillId="0" borderId="0" xfId="57" applyFont="1" applyFill="1" applyBorder="1" applyAlignment="1" applyProtection="1">
      <alignment horizontal="center"/>
      <protection hidden="1" locked="0"/>
    </xf>
    <xf numFmtId="1" fontId="64" fillId="0" borderId="0" xfId="57" applyNumberFormat="1" applyFont="1" applyFill="1" applyBorder="1" applyAlignment="1" applyProtection="1">
      <alignment horizontal="center"/>
      <protection hidden="1" locked="0"/>
    </xf>
    <xf numFmtId="1" fontId="64" fillId="0" borderId="0" xfId="57" applyNumberFormat="1" applyFont="1" applyBorder="1" applyAlignment="1" applyProtection="1">
      <alignment horizontal="center"/>
      <protection hidden="1" locked="0"/>
    </xf>
    <xf numFmtId="49" fontId="64" fillId="0" borderId="0" xfId="57" applyNumberFormat="1" applyFont="1" applyFill="1" applyBorder="1" applyAlignment="1" applyProtection="1">
      <alignment horizontal="center" vertical="center"/>
      <protection hidden="1" locked="0"/>
    </xf>
    <xf numFmtId="192" fontId="64" fillId="0" borderId="0" xfId="57" applyNumberFormat="1" applyFont="1" applyFill="1" applyBorder="1" applyAlignment="1" applyProtection="1">
      <alignment horizontal="center"/>
      <protection hidden="1" locked="0"/>
    </xf>
    <xf numFmtId="2" fontId="64" fillId="0" borderId="0" xfId="57" applyNumberFormat="1" applyFont="1" applyBorder="1" applyAlignment="1" applyProtection="1">
      <alignment horizontal="center"/>
      <protection hidden="1"/>
    </xf>
    <xf numFmtId="2" fontId="63" fillId="0" borderId="0" xfId="57" applyNumberFormat="1" applyFont="1" applyFill="1" applyBorder="1" applyAlignment="1" applyProtection="1">
      <alignment horizontal="center"/>
      <protection hidden="1"/>
    </xf>
    <xf numFmtId="1" fontId="63" fillId="0" borderId="0" xfId="57" applyNumberFormat="1" applyFont="1" applyBorder="1" applyAlignment="1" applyProtection="1">
      <alignment horizontal="center"/>
      <protection hidden="1"/>
    </xf>
    <xf numFmtId="49" fontId="63" fillId="0" borderId="0" xfId="57" applyNumberFormat="1" applyFont="1" applyBorder="1" applyAlignment="1" applyProtection="1">
      <alignment horizontal="center"/>
      <protection locked="0"/>
    </xf>
    <xf numFmtId="185" fontId="63" fillId="0" borderId="0" xfId="57" applyNumberFormat="1" applyFont="1" applyFill="1" applyBorder="1" applyAlignment="1" applyProtection="1">
      <alignment horizontal="center"/>
      <protection locked="0"/>
    </xf>
    <xf numFmtId="1" fontId="64" fillId="0" borderId="12" xfId="57" applyNumberFormat="1" applyFont="1" applyBorder="1" applyAlignment="1" applyProtection="1">
      <alignment horizontal="center"/>
      <protection hidden="1"/>
    </xf>
    <xf numFmtId="0" fontId="1" fillId="0" borderId="13"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Alignment="1">
      <alignment horizontal="left"/>
    </xf>
    <xf numFmtId="0" fontId="1" fillId="0" borderId="0" xfId="0" applyFont="1" applyAlignment="1">
      <alignment horizontal="center"/>
    </xf>
    <xf numFmtId="0" fontId="5" fillId="0" borderId="0" xfId="0" applyFont="1" applyFill="1" applyAlignment="1">
      <alignment horizontal="center" vertical="center"/>
    </xf>
    <xf numFmtId="0" fontId="5" fillId="0" borderId="0" xfId="0" applyFont="1" applyFill="1" applyAlignment="1">
      <alignment vertical="center"/>
    </xf>
    <xf numFmtId="0" fontId="1" fillId="0" borderId="15" xfId="59" applyFont="1" applyBorder="1" applyAlignment="1">
      <alignment horizontal="center" vertical="center"/>
      <protection/>
    </xf>
    <xf numFmtId="0" fontId="1" fillId="0" borderId="15" xfId="59" applyFont="1" applyFill="1" applyBorder="1" applyAlignment="1">
      <alignment horizontal="center" vertical="center" wrapText="1"/>
      <protection/>
    </xf>
    <xf numFmtId="0" fontId="1" fillId="0" borderId="0" xfId="57" applyFont="1" applyBorder="1" applyAlignment="1" applyProtection="1">
      <alignment vertical="center" wrapText="1"/>
      <protection hidden="1"/>
    </xf>
    <xf numFmtId="0" fontId="5" fillId="0" borderId="0" xfId="57" applyFont="1" applyAlignment="1" applyProtection="1">
      <alignment horizontal="left"/>
      <protection hidden="1"/>
    </xf>
    <xf numFmtId="0" fontId="1" fillId="0" borderId="0" xfId="57" applyNumberFormat="1" applyFont="1" applyBorder="1" applyAlignment="1" applyProtection="1">
      <alignment horizontal="left"/>
      <protection hidden="1"/>
    </xf>
    <xf numFmtId="0" fontId="10" fillId="32" borderId="0" xfId="0" applyFont="1" applyFill="1" applyAlignment="1">
      <alignment/>
    </xf>
    <xf numFmtId="0" fontId="1" fillId="0" borderId="16" xfId="0" applyFont="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protection hidden="1"/>
    </xf>
    <xf numFmtId="0" fontId="1" fillId="0" borderId="12"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protection hidden="1"/>
    </xf>
    <xf numFmtId="0" fontId="21" fillId="0" borderId="12" xfId="0" applyFont="1" applyFill="1" applyBorder="1" applyAlignment="1" applyProtection="1">
      <alignment horizontal="center" vertical="justify" wrapText="1"/>
      <protection hidden="1"/>
    </xf>
    <xf numFmtId="0" fontId="21" fillId="0" borderId="12" xfId="0" applyFont="1" applyBorder="1" applyAlignment="1" applyProtection="1">
      <alignment horizontal="center" vertical="center" wrapText="1"/>
      <protection hidden="1"/>
    </xf>
    <xf numFmtId="49" fontId="5" fillId="0" borderId="17" xfId="0" applyNumberFormat="1" applyFont="1" applyBorder="1" applyAlignment="1" applyProtection="1">
      <alignment horizontal="center" vertical="center"/>
      <protection hidden="1"/>
    </xf>
    <xf numFmtId="0" fontId="21" fillId="0" borderId="12" xfId="0" applyFont="1" applyFill="1" applyBorder="1" applyAlignment="1" applyProtection="1">
      <alignment horizontal="center" vertical="center" wrapText="1"/>
      <protection hidden="1"/>
    </xf>
    <xf numFmtId="49" fontId="5" fillId="32" borderId="18" xfId="0" applyNumberFormat="1"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1" fillId="0" borderId="0" xfId="57" applyFont="1" applyBorder="1" applyAlignment="1" applyProtection="1">
      <alignment horizontal="center" vertical="center" wrapText="1"/>
      <protection hidden="1"/>
    </xf>
    <xf numFmtId="0" fontId="1" fillId="0" borderId="0" xfId="57" applyFont="1" applyFill="1" applyBorder="1" applyAlignment="1" applyProtection="1">
      <alignment horizontal="center"/>
      <protection hidden="1"/>
    </xf>
    <xf numFmtId="49" fontId="1" fillId="0" borderId="0" xfId="57" applyNumberFormat="1" applyFont="1" applyBorder="1" applyAlignment="1" applyProtection="1">
      <alignment horizontal="left"/>
      <protection hidden="1"/>
    </xf>
    <xf numFmtId="0" fontId="1" fillId="0" borderId="0" xfId="0" applyFont="1" applyAlignment="1" applyProtection="1">
      <alignment/>
      <protection hidden="1"/>
    </xf>
    <xf numFmtId="0" fontId="1" fillId="0" borderId="12" xfId="0" applyFont="1" applyBorder="1" applyAlignment="1" applyProtection="1">
      <alignment horizontal="center" vertical="center"/>
      <protection hidden="1" locked="0"/>
    </xf>
    <xf numFmtId="0" fontId="63" fillId="0" borderId="12" xfId="0" applyFont="1" applyFill="1" applyBorder="1" applyAlignment="1" applyProtection="1">
      <alignment horizontal="center" vertical="center" wrapText="1"/>
      <protection hidden="1"/>
    </xf>
    <xf numFmtId="2" fontId="1" fillId="0" borderId="12" xfId="0" applyNumberFormat="1"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12" xfId="0" applyFont="1" applyFill="1" applyBorder="1" applyAlignment="1" applyProtection="1">
      <alignment horizontal="left" vertical="center" wrapText="1"/>
      <protection/>
    </xf>
    <xf numFmtId="0" fontId="10" fillId="0" borderId="0" xfId="0" applyFont="1" applyAlignment="1">
      <alignment/>
    </xf>
    <xf numFmtId="0" fontId="1" fillId="0" borderId="19" xfId="0" applyFont="1" applyFill="1" applyBorder="1" applyAlignment="1" applyProtection="1">
      <alignment horizontal="center" vertical="center"/>
      <protection locked="0"/>
    </xf>
    <xf numFmtId="49" fontId="1" fillId="0" borderId="20" xfId="0" applyNumberFormat="1" applyFont="1" applyFill="1" applyBorder="1" applyAlignment="1" applyProtection="1">
      <alignment horizontal="center" vertical="center"/>
      <protection locked="0"/>
    </xf>
    <xf numFmtId="2" fontId="1" fillId="0" borderId="21" xfId="0" applyNumberFormat="1" applyFont="1" applyFill="1" applyBorder="1" applyAlignment="1" applyProtection="1">
      <alignment horizontal="center" vertical="center" wrapText="1"/>
      <protection locked="0"/>
    </xf>
    <xf numFmtId="0" fontId="1" fillId="0" borderId="12" xfId="0" applyFont="1" applyBorder="1" applyAlignment="1" applyProtection="1">
      <alignment/>
      <protection locked="0"/>
    </xf>
    <xf numFmtId="0" fontId="1" fillId="0" borderId="0" xfId="0" applyFont="1" applyAlignment="1" applyProtection="1">
      <alignment horizontal="left" vertical="center"/>
      <protection locked="0"/>
    </xf>
    <xf numFmtId="49" fontId="24" fillId="0" borderId="12" xfId="53" applyNumberFormat="1" applyFont="1" applyBorder="1" applyAlignment="1" applyProtection="1">
      <alignment horizontal="left" vertical="center"/>
      <protection locked="0"/>
    </xf>
    <xf numFmtId="49"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0" fillId="32" borderId="0" xfId="0" applyFill="1" applyAlignment="1" applyProtection="1">
      <alignment/>
      <protection locked="0"/>
    </xf>
    <xf numFmtId="2" fontId="5" fillId="0" borderId="12" xfId="0" applyNumberFormat="1" applyFont="1" applyBorder="1" applyAlignment="1" applyProtection="1">
      <alignment horizontal="center"/>
      <protection hidden="1"/>
    </xf>
    <xf numFmtId="14" fontId="1" fillId="0" borderId="0" xfId="0" applyNumberFormat="1" applyFont="1" applyAlignment="1">
      <alignment horizontal="center" vertical="center"/>
    </xf>
    <xf numFmtId="0" fontId="65" fillId="0" borderId="0" xfId="0" applyFont="1" applyAlignment="1">
      <alignment/>
    </xf>
    <xf numFmtId="0" fontId="1" fillId="0" borderId="12" xfId="59" applyFont="1" applyBorder="1" applyAlignment="1" applyProtection="1">
      <alignment horizontal="center" vertical="center" wrapText="1"/>
      <protection hidden="1"/>
    </xf>
    <xf numFmtId="0" fontId="1" fillId="0" borderId="12" xfId="59" applyFont="1" applyFill="1" applyBorder="1" applyAlignment="1" applyProtection="1">
      <alignment horizontal="center" vertical="center" wrapText="1"/>
      <protection hidden="1"/>
    </xf>
    <xf numFmtId="0" fontId="1" fillId="0" borderId="12" xfId="59" applyFont="1" applyBorder="1" applyAlignment="1" applyProtection="1">
      <alignment horizontal="center" vertical="center" wrapText="1"/>
      <protection locked="0"/>
    </xf>
    <xf numFmtId="0" fontId="1" fillId="0" borderId="0" xfId="57" applyFont="1" applyAlignment="1" applyProtection="1">
      <alignment horizontal="center" vertical="center"/>
      <protection hidden="1"/>
    </xf>
    <xf numFmtId="4" fontId="1" fillId="0" borderId="12" xfId="57" applyNumberFormat="1" applyFont="1" applyFill="1" applyBorder="1" applyAlignment="1" applyProtection="1">
      <alignment horizontal="center" vertical="center" wrapText="1"/>
      <protection hidden="1"/>
    </xf>
    <xf numFmtId="0" fontId="1" fillId="0" borderId="12" xfId="59" applyFont="1" applyFill="1" applyBorder="1" applyAlignment="1" applyProtection="1">
      <alignment vertical="center" wrapText="1"/>
      <protection hidden="1"/>
    </xf>
    <xf numFmtId="0" fontId="1" fillId="0" borderId="12" xfId="59" applyFont="1" applyBorder="1" applyAlignment="1" applyProtection="1">
      <alignment vertical="center" wrapText="1"/>
      <protection locked="0"/>
    </xf>
    <xf numFmtId="0" fontId="1" fillId="0" borderId="12" xfId="59" applyFont="1" applyBorder="1" applyAlignment="1">
      <alignment vertical="center" wrapText="1"/>
      <protection/>
    </xf>
    <xf numFmtId="0" fontId="1" fillId="0" borderId="12" xfId="59" applyFont="1" applyBorder="1" applyAlignment="1" applyProtection="1">
      <alignment vertical="center" wrapText="1"/>
      <protection/>
    </xf>
    <xf numFmtId="0" fontId="1" fillId="0" borderId="12" xfId="59" applyFont="1" applyFill="1" applyBorder="1" applyAlignment="1" applyProtection="1">
      <alignment vertical="center" wrapText="1"/>
      <protection locked="0"/>
    </xf>
    <xf numFmtId="0" fontId="1" fillId="6" borderId="0" xfId="57" applyFont="1" applyFill="1" applyAlignment="1">
      <alignment horizontal="center" vertical="center"/>
      <protection/>
    </xf>
    <xf numFmtId="0" fontId="5" fillId="0" borderId="0" xfId="57" applyFont="1" applyFill="1" applyBorder="1" applyAlignment="1" applyProtection="1">
      <alignment horizontal="left"/>
      <protection hidden="1"/>
    </xf>
    <xf numFmtId="0" fontId="1" fillId="0" borderId="0" xfId="57" applyFont="1" applyFill="1" applyAlignment="1">
      <alignment horizontal="center"/>
      <protection/>
    </xf>
    <xf numFmtId="0" fontId="1" fillId="0" borderId="0" xfId="57" applyFont="1" applyFill="1">
      <alignment/>
      <protection/>
    </xf>
    <xf numFmtId="49" fontId="1" fillId="0" borderId="0" xfId="57" applyNumberFormat="1" applyFont="1" applyFill="1" applyAlignment="1">
      <alignment vertical="center"/>
      <protection/>
    </xf>
    <xf numFmtId="49" fontId="1" fillId="0" borderId="0" xfId="57" applyNumberFormat="1" applyFont="1" applyFill="1" applyAlignment="1">
      <alignment horizontal="left" vertical="center"/>
      <protection/>
    </xf>
    <xf numFmtId="0" fontId="1" fillId="0" borderId="0" xfId="57" applyFont="1" applyFill="1" applyAlignment="1" applyProtection="1">
      <alignment horizontal="left"/>
      <protection hidden="1"/>
    </xf>
    <xf numFmtId="0" fontId="1" fillId="0" borderId="0" xfId="57" applyFont="1" applyFill="1" applyAlignment="1">
      <alignment horizontal="right"/>
      <protection/>
    </xf>
    <xf numFmtId="0" fontId="5" fillId="0" borderId="0" xfId="57" applyFont="1" applyFill="1" applyAlignment="1" applyProtection="1">
      <alignment horizontal="left"/>
      <protection hidden="1"/>
    </xf>
    <xf numFmtId="0" fontId="1" fillId="0" borderId="0" xfId="59" applyFont="1" applyFill="1">
      <alignment/>
      <protection/>
    </xf>
    <xf numFmtId="0" fontId="1" fillId="0" borderId="0" xfId="59" applyFont="1" applyFill="1" applyAlignment="1">
      <alignment horizontal="center"/>
      <protection/>
    </xf>
    <xf numFmtId="14" fontId="5" fillId="0" borderId="0" xfId="57" applyNumberFormat="1" applyFont="1" applyFill="1" applyAlignment="1" applyProtection="1">
      <alignment horizontal="center"/>
      <protection/>
    </xf>
    <xf numFmtId="0" fontId="1" fillId="0" borderId="0" xfId="59" applyFont="1" applyFill="1" applyBorder="1" applyAlignment="1">
      <alignment horizontal="center" vertical="center"/>
      <protection/>
    </xf>
    <xf numFmtId="0" fontId="1" fillId="0" borderId="0" xfId="59" applyFont="1" applyFill="1" applyBorder="1" applyAlignment="1" applyProtection="1">
      <alignment horizontal="center" vertical="center"/>
      <protection hidden="1"/>
    </xf>
    <xf numFmtId="0" fontId="5" fillId="0" borderId="0" xfId="59" applyFont="1" applyFill="1" applyBorder="1" applyAlignment="1" applyProtection="1">
      <alignment horizontal="center" vertical="center"/>
      <protection hidden="1"/>
    </xf>
    <xf numFmtId="0" fontId="5" fillId="0" borderId="0" xfId="59" applyFont="1" applyFill="1" applyBorder="1" applyAlignment="1">
      <alignment horizontal="right" vertical="center"/>
      <protection/>
    </xf>
    <xf numFmtId="2" fontId="5" fillId="0" borderId="0" xfId="57" applyNumberFormat="1" applyFont="1" applyFill="1" applyAlignment="1" applyProtection="1">
      <alignment horizontal="center" vertical="center"/>
      <protection hidden="1"/>
    </xf>
    <xf numFmtId="0" fontId="10" fillId="0" borderId="0" xfId="59" applyFont="1" applyFill="1">
      <alignment/>
      <protection/>
    </xf>
    <xf numFmtId="0" fontId="10" fillId="0" borderId="0" xfId="57" applyFont="1" applyFill="1">
      <alignment/>
      <protection/>
    </xf>
    <xf numFmtId="0" fontId="10" fillId="0" borderId="0" xfId="57" applyFont="1" applyFill="1" applyAlignment="1">
      <alignment horizontal="center"/>
      <protection/>
    </xf>
    <xf numFmtId="49" fontId="8" fillId="0" borderId="0" xfId="57" applyNumberFormat="1" applyFont="1" applyFill="1" applyAlignment="1">
      <alignment horizontal="left"/>
      <protection/>
    </xf>
    <xf numFmtId="0" fontId="9" fillId="0" borderId="0" xfId="57" applyFont="1" applyFill="1" applyAlignment="1">
      <alignment horizontal="left"/>
      <protection/>
    </xf>
    <xf numFmtId="0" fontId="9" fillId="0" borderId="0" xfId="57" applyFont="1" applyFill="1">
      <alignment/>
      <protection/>
    </xf>
    <xf numFmtId="0" fontId="8" fillId="0" borderId="0" xfId="59" applyFont="1" applyFill="1" applyBorder="1">
      <alignment/>
      <protection/>
    </xf>
    <xf numFmtId="0" fontId="65" fillId="0" borderId="0" xfId="0" applyFont="1" applyFill="1" applyAlignment="1">
      <alignment horizontal="center"/>
    </xf>
    <xf numFmtId="0" fontId="1" fillId="0" borderId="0" xfId="57" applyFont="1" applyFill="1" applyAlignment="1" applyProtection="1">
      <alignment horizontal="center" vertical="center"/>
      <protection hidden="1"/>
    </xf>
    <xf numFmtId="0" fontId="1" fillId="0" borderId="0" xfId="59" applyFont="1" applyFill="1" applyBorder="1">
      <alignment/>
      <protection/>
    </xf>
    <xf numFmtId="0" fontId="5" fillId="0" borderId="0" xfId="57" applyFont="1" applyAlignment="1">
      <alignment horizontal="left"/>
      <protection/>
    </xf>
    <xf numFmtId="0" fontId="1" fillId="0" borderId="0" xfId="57" applyNumberFormat="1" applyFont="1" applyFill="1" applyBorder="1" applyAlignment="1">
      <alignment horizontal="left" vertical="center"/>
      <protection/>
    </xf>
    <xf numFmtId="0" fontId="5" fillId="0" borderId="0" xfId="57" applyFont="1" applyAlignment="1">
      <alignment horizontal="center"/>
      <protection/>
    </xf>
    <xf numFmtId="0" fontId="19" fillId="0" borderId="12" xfId="57" applyFont="1" applyBorder="1" applyAlignment="1">
      <alignment horizontal="center" vertical="center" wrapText="1"/>
      <protection/>
    </xf>
    <xf numFmtId="2" fontId="19" fillId="0" borderId="22" xfId="57" applyNumberFormat="1" applyFont="1" applyBorder="1" applyAlignment="1">
      <alignment horizontal="center" vertical="center" wrapText="1"/>
      <protection/>
    </xf>
    <xf numFmtId="1" fontId="19" fillId="0" borderId="12" xfId="57" applyNumberFormat="1" applyFont="1" applyBorder="1" applyAlignment="1">
      <alignment horizontal="center" vertical="center" wrapText="1"/>
      <protection/>
    </xf>
    <xf numFmtId="4" fontId="19" fillId="0" borderId="12" xfId="57" applyNumberFormat="1" applyFont="1" applyBorder="1" applyAlignment="1">
      <alignment horizontal="center" vertical="center" wrapText="1"/>
      <protection/>
    </xf>
    <xf numFmtId="49" fontId="10" fillId="0" borderId="12" xfId="57" applyNumberFormat="1" applyFont="1" applyBorder="1" applyAlignment="1">
      <alignment horizontal="center" vertical="center" wrapText="1"/>
      <protection/>
    </xf>
    <xf numFmtId="49" fontId="10" fillId="0" borderId="12" xfId="57" applyNumberFormat="1" applyFont="1" applyFill="1" applyBorder="1" applyAlignment="1">
      <alignment horizontal="center" wrapText="1"/>
      <protection/>
    </xf>
    <xf numFmtId="0" fontId="10" fillId="0" borderId="12" xfId="57" applyFont="1" applyBorder="1" applyAlignment="1">
      <alignment horizontal="center" vertical="top" wrapText="1"/>
      <protection/>
    </xf>
    <xf numFmtId="49" fontId="10" fillId="0" borderId="12" xfId="57" applyNumberFormat="1" applyFont="1" applyBorder="1" applyAlignment="1">
      <alignment horizontal="center" vertical="top" wrapText="1"/>
      <protection/>
    </xf>
    <xf numFmtId="0" fontId="10" fillId="0" borderId="12" xfId="57" applyFont="1" applyBorder="1" applyAlignment="1">
      <alignment vertical="top" wrapText="1"/>
      <protection/>
    </xf>
    <xf numFmtId="2" fontId="10" fillId="0" borderId="12" xfId="57" applyNumberFormat="1" applyFont="1" applyFill="1" applyBorder="1" applyAlignment="1">
      <alignment horizontal="center"/>
      <protection/>
    </xf>
    <xf numFmtId="1" fontId="10" fillId="0" borderId="12" xfId="57" applyNumberFormat="1" applyFont="1" applyBorder="1" applyAlignment="1">
      <alignment horizontal="center"/>
      <protection/>
    </xf>
    <xf numFmtId="0" fontId="10" fillId="0" borderId="18" xfId="57" applyFont="1" applyFill="1" applyBorder="1" applyAlignment="1">
      <alignment horizontal="center"/>
      <protection/>
    </xf>
    <xf numFmtId="0" fontId="10" fillId="0" borderId="23" xfId="57" applyFont="1" applyFill="1" applyBorder="1" applyAlignment="1">
      <alignment horizontal="center"/>
      <protection/>
    </xf>
    <xf numFmtId="0" fontId="10" fillId="0" borderId="24" xfId="57" applyFont="1" applyFill="1" applyBorder="1" applyAlignment="1">
      <alignment horizontal="left"/>
      <protection/>
    </xf>
    <xf numFmtId="4" fontId="10" fillId="0" borderId="24" xfId="57" applyNumberFormat="1" applyFont="1" applyFill="1" applyBorder="1" applyAlignment="1">
      <alignment horizontal="center"/>
      <protection/>
    </xf>
    <xf numFmtId="1" fontId="10" fillId="0" borderId="24" xfId="57" applyNumberFormat="1" applyFont="1" applyFill="1" applyBorder="1" applyAlignment="1">
      <alignment horizontal="center"/>
      <protection/>
    </xf>
    <xf numFmtId="189" fontId="10" fillId="0" borderId="0" xfId="57" applyNumberFormat="1" applyFont="1" applyFill="1" applyBorder="1" applyAlignment="1">
      <alignment horizontal="center" vertical="center"/>
      <protection/>
    </xf>
    <xf numFmtId="199" fontId="1" fillId="0" borderId="0" xfId="57" applyNumberFormat="1" applyFont="1" applyAlignment="1">
      <alignment horizontal="center"/>
      <protection/>
    </xf>
    <xf numFmtId="0" fontId="1" fillId="0" borderId="0" xfId="57" applyNumberFormat="1" applyFont="1" applyFill="1" applyBorder="1" applyAlignment="1" applyProtection="1">
      <alignment horizontal="left" vertical="center"/>
      <protection hidden="1"/>
    </xf>
    <xf numFmtId="0" fontId="1" fillId="0" borderId="0" xfId="57" applyFont="1" applyAlignment="1">
      <alignment vertical="center"/>
      <protection/>
    </xf>
    <xf numFmtId="0" fontId="1" fillId="0" borderId="0" xfId="57" applyNumberFormat="1" applyFont="1" applyAlignment="1">
      <alignment horizontal="left" vertical="center"/>
      <protection/>
    </xf>
    <xf numFmtId="0" fontId="1" fillId="0" borderId="0" xfId="59" applyFont="1" applyAlignment="1">
      <alignment horizontal="center" vertical="center"/>
      <protection/>
    </xf>
    <xf numFmtId="0" fontId="5" fillId="0" borderId="0" xfId="57" applyFont="1" applyAlignment="1" applyProtection="1">
      <alignment vertical="center"/>
      <protection hidden="1"/>
    </xf>
    <xf numFmtId="4" fontId="10" fillId="0" borderId="12" xfId="57" applyNumberFormat="1" applyFont="1" applyBorder="1" applyAlignment="1" applyProtection="1">
      <alignment horizontal="center"/>
      <protection hidden="1"/>
    </xf>
    <xf numFmtId="4" fontId="10" fillId="0" borderId="25" xfId="57" applyNumberFormat="1" applyFont="1" applyFill="1" applyBorder="1" applyAlignment="1" applyProtection="1">
      <alignment horizontal="center"/>
      <protection hidden="1"/>
    </xf>
    <xf numFmtId="0" fontId="1" fillId="0" borderId="0" xfId="57" applyFont="1" applyAlignment="1" applyProtection="1">
      <alignment horizontal="right" vertical="center"/>
      <protection hidden="1"/>
    </xf>
    <xf numFmtId="0" fontId="5" fillId="0" borderId="0" xfId="57" applyFont="1" applyAlignment="1" applyProtection="1">
      <alignment horizontal="left" vertical="center"/>
      <protection hidden="1"/>
    </xf>
    <xf numFmtId="0" fontId="1" fillId="0" borderId="0" xfId="57" applyFont="1" applyFill="1" applyBorder="1" applyAlignment="1" applyProtection="1">
      <alignment horizontal="center" vertical="center"/>
      <protection hidden="1"/>
    </xf>
    <xf numFmtId="0" fontId="1" fillId="0" borderId="12"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5" fillId="0" borderId="0" xfId="0" applyFont="1" applyBorder="1" applyAlignment="1">
      <alignment horizontal="center"/>
    </xf>
    <xf numFmtId="0" fontId="5" fillId="0" borderId="0" xfId="0" applyFont="1" applyBorder="1" applyAlignment="1" applyProtection="1">
      <alignment horizontal="center"/>
      <protection locked="0"/>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5" fillId="0" borderId="12" xfId="0" applyFont="1" applyBorder="1" applyAlignment="1">
      <alignment horizontal="center" vertical="center"/>
    </xf>
    <xf numFmtId="0" fontId="1" fillId="0" borderId="26" xfId="57" applyFont="1" applyBorder="1" applyAlignment="1" applyProtection="1">
      <alignment horizontal="center" vertical="center" wrapText="1"/>
      <protection locked="0"/>
    </xf>
    <xf numFmtId="0" fontId="1" fillId="0" borderId="27" xfId="57" applyFont="1" applyBorder="1" applyAlignment="1" applyProtection="1">
      <alignment horizontal="center" vertical="center" wrapText="1"/>
      <protection locked="0"/>
    </xf>
    <xf numFmtId="0" fontId="1" fillId="0" borderId="26" xfId="57" applyFont="1" applyBorder="1" applyAlignment="1" applyProtection="1">
      <alignment horizontal="center" vertical="center"/>
      <protection locked="0"/>
    </xf>
    <xf numFmtId="0" fontId="1" fillId="0" borderId="27" xfId="57" applyFont="1" applyBorder="1" applyAlignment="1" applyProtection="1">
      <alignment horizontal="center" vertical="center"/>
      <protection locked="0"/>
    </xf>
    <xf numFmtId="0" fontId="10" fillId="6" borderId="12" xfId="59" applyFont="1" applyFill="1" applyBorder="1" applyAlignment="1" applyProtection="1">
      <alignment horizontal="center" vertical="center" wrapText="1"/>
      <protection hidden="1"/>
    </xf>
    <xf numFmtId="0" fontId="1" fillId="0" borderId="0" xfId="59" applyFont="1" applyBorder="1" applyAlignment="1">
      <alignment horizontal="center" vertical="center" wrapText="1"/>
      <protection/>
    </xf>
    <xf numFmtId="0" fontId="1" fillId="0" borderId="0" xfId="57" applyFont="1" applyBorder="1" applyAlignment="1">
      <alignment horizontal="center" vertical="center" wrapText="1"/>
      <protection/>
    </xf>
    <xf numFmtId="0" fontId="1" fillId="0" borderId="12" xfId="59" applyFont="1" applyBorder="1" applyAlignment="1" applyProtection="1">
      <alignment horizontal="center" vertical="center" wrapText="1"/>
      <protection hidden="1"/>
    </xf>
    <xf numFmtId="0" fontId="1" fillId="0" borderId="12" xfId="57" applyFont="1" applyBorder="1" applyAlignment="1" applyProtection="1">
      <alignment horizontal="center" vertical="center"/>
      <protection hidden="1"/>
    </xf>
    <xf numFmtId="0" fontId="1" fillId="0" borderId="12" xfId="57" applyFont="1" applyBorder="1" applyAlignment="1" applyProtection="1">
      <alignment horizontal="center" vertical="center" wrapText="1"/>
      <protection hidden="1"/>
    </xf>
    <xf numFmtId="0" fontId="5" fillId="0" borderId="0" xfId="57" applyFont="1" applyFill="1" applyBorder="1" applyAlignment="1" applyProtection="1">
      <alignment horizontal="left" vertical="center" wrapText="1"/>
      <protection hidden="1"/>
    </xf>
    <xf numFmtId="0" fontId="1" fillId="0" borderId="0" xfId="57" applyFont="1" applyFill="1" applyBorder="1" applyAlignment="1">
      <alignment horizontal="center" vertical="center" wrapText="1"/>
      <protection/>
    </xf>
    <xf numFmtId="0" fontId="10" fillId="0" borderId="26" xfId="59" applyFont="1" applyBorder="1" applyAlignment="1" applyProtection="1">
      <alignment horizontal="center" vertical="center" wrapText="1"/>
      <protection/>
    </xf>
    <xf numFmtId="0" fontId="10" fillId="0" borderId="28" xfId="59" applyFont="1" applyBorder="1" applyAlignment="1" applyProtection="1">
      <alignment horizontal="center" vertical="center" wrapText="1"/>
      <protection/>
    </xf>
    <xf numFmtId="0" fontId="10" fillId="0" borderId="27" xfId="59" applyFont="1" applyBorder="1" applyAlignment="1" applyProtection="1">
      <alignment horizontal="center" vertical="center" wrapText="1"/>
      <protection/>
    </xf>
    <xf numFmtId="0" fontId="10" fillId="0" borderId="26" xfId="59" applyFont="1" applyFill="1" applyBorder="1" applyAlignment="1" applyProtection="1">
      <alignment horizontal="center" vertical="center" wrapText="1"/>
      <protection hidden="1"/>
    </xf>
    <xf numFmtId="0" fontId="10" fillId="0" borderId="28" xfId="59" applyFont="1" applyFill="1" applyBorder="1" applyAlignment="1" applyProtection="1">
      <alignment horizontal="center" vertical="center" wrapText="1"/>
      <protection hidden="1"/>
    </xf>
    <xf numFmtId="0" fontId="10" fillId="0" borderId="27" xfId="59" applyFont="1" applyFill="1" applyBorder="1" applyAlignment="1" applyProtection="1">
      <alignment horizontal="center" vertical="center" wrapText="1"/>
      <protection hidden="1"/>
    </xf>
    <xf numFmtId="0" fontId="1" fillId="6" borderId="12" xfId="59" applyFont="1" applyFill="1" applyBorder="1" applyAlignment="1" applyProtection="1">
      <alignment horizontal="center" vertical="center"/>
      <protection hidden="1"/>
    </xf>
    <xf numFmtId="0" fontId="1" fillId="0" borderId="15" xfId="59" applyFont="1" applyBorder="1" applyAlignment="1" applyProtection="1">
      <alignment horizontal="center" vertical="center"/>
      <protection hidden="1"/>
    </xf>
    <xf numFmtId="0" fontId="10" fillId="0" borderId="29" xfId="0" applyFont="1" applyBorder="1" applyAlignment="1">
      <alignment horizontal="center" vertical="center" wrapText="1"/>
    </xf>
    <xf numFmtId="0" fontId="23" fillId="0" borderId="30" xfId="0" applyFont="1" applyBorder="1" applyAlignment="1">
      <alignment horizontal="center"/>
    </xf>
    <xf numFmtId="0" fontId="1" fillId="0" borderId="12" xfId="0" applyFont="1" applyFill="1" applyBorder="1" applyAlignment="1" applyProtection="1">
      <alignment horizontal="center" vertical="center" wrapText="1"/>
      <protection hidden="1"/>
    </xf>
    <xf numFmtId="0" fontId="5" fillId="32" borderId="17" xfId="0" applyFont="1" applyFill="1" applyBorder="1" applyAlignment="1" applyProtection="1">
      <alignment horizontal="center" vertical="center"/>
      <protection hidden="1"/>
    </xf>
    <xf numFmtId="0" fontId="1" fillId="0" borderId="31"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1" fillId="0" borderId="12" xfId="0" applyFont="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NumberFormat="1" applyFont="1" applyBorder="1" applyAlignment="1" applyProtection="1">
      <alignment vertical="center" wrapText="1"/>
      <protection locked="0"/>
    </xf>
    <xf numFmtId="0" fontId="1" fillId="0" borderId="13" xfId="0" applyNumberFormat="1" applyFont="1" applyBorder="1" applyAlignment="1" applyProtection="1">
      <alignment vertical="center" wrapText="1"/>
      <protection locked="0"/>
    </xf>
    <xf numFmtId="0" fontId="1" fillId="0" borderId="14" xfId="0" applyNumberFormat="1" applyFont="1" applyBorder="1" applyAlignment="1" applyProtection="1">
      <alignment vertical="center" wrapText="1"/>
      <protection locked="0"/>
    </xf>
    <xf numFmtId="0" fontId="1" fillId="0" borderId="32" xfId="0" applyNumberFormat="1" applyFont="1" applyBorder="1" applyAlignment="1" applyProtection="1">
      <alignment horizontal="center" vertical="center" wrapText="1"/>
      <protection locked="0"/>
    </xf>
    <xf numFmtId="0" fontId="1" fillId="0" borderId="13" xfId="0" applyNumberFormat="1" applyFont="1" applyBorder="1" applyAlignment="1" applyProtection="1">
      <alignment horizontal="center" vertical="center" wrapText="1"/>
      <protection locked="0"/>
    </xf>
    <xf numFmtId="0" fontId="1" fillId="0" borderId="14" xfId="0" applyNumberFormat="1"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1" fillId="0" borderId="3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wrapText="1"/>
      <protection hidden="1"/>
    </xf>
    <xf numFmtId="0" fontId="1" fillId="0" borderId="0" xfId="57" applyFont="1" applyBorder="1" applyAlignment="1" applyProtection="1">
      <alignment horizontal="center" vertical="center" wrapText="1"/>
      <protection hidden="1"/>
    </xf>
    <xf numFmtId="0" fontId="1" fillId="0" borderId="0" xfId="57" applyNumberFormat="1" applyFont="1" applyAlignment="1" applyProtection="1">
      <alignment horizontal="left" vertical="center"/>
      <protection hidden="1"/>
    </xf>
    <xf numFmtId="0" fontId="1" fillId="0" borderId="0" xfId="57" applyNumberFormat="1" applyFont="1" applyFill="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7" xfId="58"/>
    <cellStyle name="Normal_Sheet1 2" xfId="59"/>
    <cellStyle name="Note" xfId="60"/>
    <cellStyle name="Output" xfId="61"/>
    <cellStyle name="Percent" xfId="62"/>
    <cellStyle name="Title" xfId="63"/>
    <cellStyle name="Total" xfId="64"/>
    <cellStyle name="Warning Text" xfId="65"/>
  </cellStyles>
  <dxfs count="21">
    <dxf>
      <font>
        <color rgb="FF9C0006"/>
      </font>
      <fill>
        <patternFill>
          <bgColor rgb="FFFFC7CE"/>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e\Contractare2018\Laborator\Dosar_Furnizor_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_Contact"/>
      <sheetName val="Personal"/>
      <sheetName val="Renar_ISO15189"/>
      <sheetName val="Control_extern"/>
      <sheetName val="Aparate_laborator"/>
      <sheetName val="Aparate_Citologie_Histo"/>
      <sheetName val="Punct extern recoltare"/>
      <sheetName val="Oferta_nr_servicii_lab"/>
      <sheetName val="Oferta_histopatologie"/>
      <sheetName val="Sheet1"/>
      <sheetName val="Sheet2"/>
    </sheetNames>
    <sheetDataSet>
      <sheetData sheetId="9">
        <row r="1">
          <cell r="A1" t="str">
            <v>Medic</v>
          </cell>
          <cell r="G1" t="str">
            <v>Hematologie</v>
          </cell>
          <cell r="H1" t="str">
            <v>Laborator</v>
          </cell>
        </row>
        <row r="2">
          <cell r="A2" t="str">
            <v>Biolog_medical</v>
          </cell>
          <cell r="G2" t="str">
            <v>Biochimie</v>
          </cell>
          <cell r="H2" t="str">
            <v>Anatomopatologie</v>
          </cell>
        </row>
        <row r="3">
          <cell r="A3" t="str">
            <v>Biochimist_medical</v>
          </cell>
          <cell r="G3" t="str">
            <v>Imunologie</v>
          </cell>
          <cell r="H3" t="str">
            <v>Hematologie</v>
          </cell>
        </row>
        <row r="4">
          <cell r="A4" t="str">
            <v>Chimist_medical</v>
          </cell>
          <cell r="G4" t="str">
            <v>Microbiologie</v>
          </cell>
          <cell r="H4" t="str">
            <v>Biochimie</v>
          </cell>
        </row>
        <row r="5">
          <cell r="A5" t="str">
            <v>Asistent</v>
          </cell>
          <cell r="G5" t="str">
            <v>Histo-Citologie</v>
          </cell>
          <cell r="H5" t="str">
            <v>Imunologie</v>
          </cell>
        </row>
        <row r="6">
          <cell r="A6" t="str">
            <v>Farmacist</v>
          </cell>
          <cell r="H6" t="str">
            <v>Microbiologie</v>
          </cell>
        </row>
        <row r="7">
          <cell r="A7" t="str">
            <v>Biolog</v>
          </cell>
        </row>
        <row r="8">
          <cell r="A8" t="str">
            <v>Biochimist</v>
          </cell>
        </row>
        <row r="9">
          <cell r="A9" t="str">
            <v>Chimist</v>
          </cell>
        </row>
      </sheetData>
      <sheetData sheetId="10">
        <row r="10">
          <cell r="M10" t="str">
            <v>analizor până la 18 parametri inclusiv</v>
          </cell>
        </row>
        <row r="11">
          <cell r="M11" t="str">
            <v>analizor cu mai mult de 18 parametri 5 DIF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ietate@email.ro" TargetMode="External" /><Relationship Id="rId2" Type="http://schemas.openxmlformats.org/officeDocument/2006/relationships/hyperlink" Target="http://www.domeniu.ro/" TargetMode="External" /><Relationship Id="rId3" Type="http://schemas.openxmlformats.org/officeDocument/2006/relationships/hyperlink" Target="mailto:email@repllegal.ro" TargetMode="External" /><Relationship Id="rId4" Type="http://schemas.openxmlformats.org/officeDocument/2006/relationships/hyperlink" Target="mailto:email@pct_lucru_daca_are.ro"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AP62"/>
  <sheetViews>
    <sheetView tabSelected="1" zoomScalePageLayoutView="0" workbookViewId="0" topLeftCell="A1">
      <selection activeCell="F23" sqref="F23"/>
    </sheetView>
  </sheetViews>
  <sheetFormatPr defaultColWidth="9.00390625" defaultRowHeight="12.75"/>
  <cols>
    <col min="1" max="1" width="16.8515625" style="129" customWidth="1"/>
    <col min="2" max="2" width="9.00390625" style="129" bestFit="1" customWidth="1"/>
    <col min="3" max="3" width="37.57421875" style="129" customWidth="1"/>
    <col min="4" max="4" width="5.421875" style="129" customWidth="1"/>
    <col min="5" max="40" width="9.00390625" style="129" customWidth="1"/>
    <col min="41" max="41" width="44.7109375" style="129" hidden="1" customWidth="1"/>
    <col min="42" max="42" width="9.00390625" style="129" hidden="1" customWidth="1"/>
    <col min="43" max="43" width="9.00390625" style="129" customWidth="1"/>
    <col min="44" max="16384" width="9.00390625" style="129" customWidth="1"/>
  </cols>
  <sheetData>
    <row r="1" ht="12.75"/>
    <row r="2" spans="1:3" ht="12.75">
      <c r="A2" s="150" t="s">
        <v>156</v>
      </c>
      <c r="B2" s="340" t="s">
        <v>238</v>
      </c>
      <c r="C2" s="340"/>
    </row>
    <row r="3" spans="1:3" ht="7.5" customHeight="1">
      <c r="A3" s="149"/>
      <c r="B3" s="339"/>
      <c r="C3" s="339"/>
    </row>
    <row r="4" spans="1:42" s="139" customFormat="1" ht="15" customHeight="1">
      <c r="A4" s="343" t="s">
        <v>0</v>
      </c>
      <c r="B4" s="343"/>
      <c r="C4" s="194" t="s">
        <v>166</v>
      </c>
      <c r="AP4" s="171">
        <f ca="1">TODAY()+25</f>
        <v>44406</v>
      </c>
    </row>
    <row r="5" spans="1:3" s="139" customFormat="1" ht="15" customHeight="1">
      <c r="A5" s="341" t="s">
        <v>133</v>
      </c>
      <c r="B5" s="341"/>
      <c r="C5" s="195">
        <v>2222222</v>
      </c>
    </row>
    <row r="6" spans="1:41" s="139" customFormat="1" ht="15" customHeight="1">
      <c r="A6" s="336" t="s">
        <v>154</v>
      </c>
      <c r="B6" s="144" t="s">
        <v>134</v>
      </c>
      <c r="C6" s="196" t="s">
        <v>167</v>
      </c>
      <c r="AO6" s="139" t="str">
        <f>CONCATENATE("Loc.",PROPER(C7)," ","Str.",PROPER(C8)," ","Nr.",C9)</f>
        <v>Loc.Constanta Str.Nume Strada Sediu Social Nr.1A</v>
      </c>
    </row>
    <row r="7" spans="1:3" s="139" customFormat="1" ht="15" customHeight="1">
      <c r="A7" s="336"/>
      <c r="B7" s="144" t="s">
        <v>135</v>
      </c>
      <c r="C7" s="196" t="s">
        <v>167</v>
      </c>
    </row>
    <row r="8" spans="1:41" s="139" customFormat="1" ht="15" customHeight="1">
      <c r="A8" s="336"/>
      <c r="B8" s="144" t="s">
        <v>136</v>
      </c>
      <c r="C8" s="196" t="s">
        <v>184</v>
      </c>
      <c r="AO8" s="139" t="str">
        <f>CONCATENATE("Tel:",C15," ","Fax",C16," ","E-mail"," ",C17)</f>
        <v>Tel:0241/XXXXXX Fax0241/XXXXXX E-mail societate@email.ro</v>
      </c>
    </row>
    <row r="9" spans="1:3" s="139" customFormat="1" ht="15" customHeight="1">
      <c r="A9" s="336"/>
      <c r="B9" s="144" t="s">
        <v>137</v>
      </c>
      <c r="C9" s="196" t="s">
        <v>168</v>
      </c>
    </row>
    <row r="10" spans="1:3" s="139" customFormat="1" ht="15" customHeight="1">
      <c r="A10" s="336"/>
      <c r="B10" s="144" t="s">
        <v>138</v>
      </c>
      <c r="C10" s="196"/>
    </row>
    <row r="11" spans="1:3" s="139" customFormat="1" ht="15" customHeight="1">
      <c r="A11" s="336"/>
      <c r="B11" s="144" t="s">
        <v>139</v>
      </c>
      <c r="C11" s="196"/>
    </row>
    <row r="12" spans="1:3" s="139" customFormat="1" ht="15" customHeight="1">
      <c r="A12" s="336"/>
      <c r="B12" s="144" t="s">
        <v>140</v>
      </c>
      <c r="C12" s="196"/>
    </row>
    <row r="13" spans="1:3" s="139" customFormat="1" ht="15" customHeight="1">
      <c r="A13" s="336"/>
      <c r="B13" s="144" t="s">
        <v>141</v>
      </c>
      <c r="C13" s="196"/>
    </row>
    <row r="14" spans="1:3" s="139" customFormat="1" ht="15" customHeight="1">
      <c r="A14" s="336" t="s">
        <v>142</v>
      </c>
      <c r="B14" s="144" t="s">
        <v>143</v>
      </c>
      <c r="C14" s="196"/>
    </row>
    <row r="15" spans="1:3" s="139" customFormat="1" ht="15" customHeight="1">
      <c r="A15" s="336"/>
      <c r="B15" s="144" t="s">
        <v>144</v>
      </c>
      <c r="C15" s="196" t="s">
        <v>169</v>
      </c>
    </row>
    <row r="16" spans="1:3" s="139" customFormat="1" ht="15" customHeight="1">
      <c r="A16" s="336"/>
      <c r="B16" s="144" t="s">
        <v>145</v>
      </c>
      <c r="C16" s="196" t="s">
        <v>169</v>
      </c>
    </row>
    <row r="17" spans="1:3" s="139" customFormat="1" ht="15" customHeight="1">
      <c r="A17" s="336"/>
      <c r="B17" s="145" t="s">
        <v>3</v>
      </c>
      <c r="C17" s="259" t="s">
        <v>170</v>
      </c>
    </row>
    <row r="18" spans="1:3" s="139" customFormat="1" ht="15" customHeight="1">
      <c r="A18" s="336"/>
      <c r="B18" s="145" t="s">
        <v>146</v>
      </c>
      <c r="C18" s="259" t="s">
        <v>171</v>
      </c>
    </row>
    <row r="19" spans="1:3" s="139" customFormat="1" ht="15" customHeight="1">
      <c r="A19" s="336" t="s">
        <v>147</v>
      </c>
      <c r="B19" s="144" t="s">
        <v>148</v>
      </c>
      <c r="C19" s="196" t="s">
        <v>175</v>
      </c>
    </row>
    <row r="20" spans="1:3" s="139" customFormat="1" ht="15" customHeight="1">
      <c r="A20" s="336"/>
      <c r="B20" s="144" t="s">
        <v>149</v>
      </c>
      <c r="C20" s="196" t="s">
        <v>167</v>
      </c>
    </row>
    <row r="21" spans="1:3" s="139" customFormat="1" ht="15" customHeight="1">
      <c r="A21" s="336"/>
      <c r="B21" s="144" t="s">
        <v>150</v>
      </c>
      <c r="C21" s="196" t="s">
        <v>172</v>
      </c>
    </row>
    <row r="22" spans="1:41" s="139" customFormat="1" ht="15" customHeight="1">
      <c r="A22" s="336" t="s">
        <v>1</v>
      </c>
      <c r="B22" s="144" t="s">
        <v>151</v>
      </c>
      <c r="C22" s="196" t="s">
        <v>189</v>
      </c>
      <c r="AO22" s="139" t="str">
        <f>CONCATENATE(PROPER(C22)," ",PROPER(C23))</f>
        <v>Nume Repl Legal Prenume Repl</v>
      </c>
    </row>
    <row r="23" spans="1:3" s="139" customFormat="1" ht="15" customHeight="1">
      <c r="A23" s="336"/>
      <c r="B23" s="144" t="s">
        <v>152</v>
      </c>
      <c r="C23" s="196" t="s">
        <v>190</v>
      </c>
    </row>
    <row r="24" spans="1:3" s="139" customFormat="1" ht="15" customHeight="1">
      <c r="A24" s="336"/>
      <c r="B24" s="144" t="s">
        <v>17</v>
      </c>
      <c r="C24" s="197">
        <v>12101010101010</v>
      </c>
    </row>
    <row r="25" spans="1:3" s="139" customFormat="1" ht="15" customHeight="1">
      <c r="A25" s="336"/>
      <c r="B25" s="144" t="s">
        <v>2</v>
      </c>
      <c r="C25" s="196" t="s">
        <v>173</v>
      </c>
    </row>
    <row r="26" spans="1:3" s="139" customFormat="1" ht="15" customHeight="1">
      <c r="A26" s="336"/>
      <c r="B26" s="144" t="s">
        <v>3</v>
      </c>
      <c r="C26" s="259" t="s">
        <v>174</v>
      </c>
    </row>
    <row r="27" spans="1:3" s="139" customFormat="1" ht="4.5" customHeight="1">
      <c r="A27" s="342"/>
      <c r="B27" s="342"/>
      <c r="C27" s="342"/>
    </row>
    <row r="28" spans="1:3" s="139" customFormat="1" ht="15" customHeight="1">
      <c r="A28" s="337" t="s">
        <v>155</v>
      </c>
      <c r="B28" s="200" t="s">
        <v>134</v>
      </c>
      <c r="C28" s="196" t="s">
        <v>167</v>
      </c>
    </row>
    <row r="29" spans="1:41" s="139" customFormat="1" ht="15" customHeight="1">
      <c r="A29" s="337"/>
      <c r="B29" s="200" t="s">
        <v>135</v>
      </c>
      <c r="C29" s="196" t="s">
        <v>167</v>
      </c>
      <c r="AO29" s="146" t="str">
        <f>CONCATENATE("Loc.",PROPER(C29)," ","Str.",C30," ","Nr.",C31)</f>
        <v>Loc.Constanta Str.nume strada punct de lucru Nr.1 </v>
      </c>
    </row>
    <row r="30" spans="1:3" s="139" customFormat="1" ht="15" customHeight="1">
      <c r="A30" s="337"/>
      <c r="B30" s="200" t="s">
        <v>136</v>
      </c>
      <c r="C30" s="196" t="s">
        <v>185</v>
      </c>
    </row>
    <row r="31" spans="1:3" s="139" customFormat="1" ht="15" customHeight="1">
      <c r="A31" s="337"/>
      <c r="B31" s="200" t="s">
        <v>137</v>
      </c>
      <c r="C31" s="196" t="s">
        <v>180</v>
      </c>
    </row>
    <row r="32" spans="1:3" s="139" customFormat="1" ht="15" customHeight="1">
      <c r="A32" s="337"/>
      <c r="B32" s="200" t="s">
        <v>138</v>
      </c>
      <c r="C32" s="196"/>
    </row>
    <row r="33" spans="1:3" s="139" customFormat="1" ht="15" customHeight="1">
      <c r="A33" s="337"/>
      <c r="B33" s="200" t="s">
        <v>139</v>
      </c>
      <c r="C33" s="196"/>
    </row>
    <row r="34" spans="1:3" s="139" customFormat="1" ht="15" customHeight="1">
      <c r="A34" s="337"/>
      <c r="B34" s="200" t="s">
        <v>140</v>
      </c>
      <c r="C34" s="196"/>
    </row>
    <row r="35" spans="1:3" s="139" customFormat="1" ht="15" customHeight="1">
      <c r="A35" s="337"/>
      <c r="B35" s="200" t="s">
        <v>141</v>
      </c>
      <c r="C35" s="196"/>
    </row>
    <row r="36" spans="1:3" s="139" customFormat="1" ht="15" customHeight="1">
      <c r="A36" s="337" t="s">
        <v>153</v>
      </c>
      <c r="B36" s="200" t="s">
        <v>143</v>
      </c>
      <c r="C36" s="196" t="s">
        <v>272</v>
      </c>
    </row>
    <row r="37" spans="1:41" s="139" customFormat="1" ht="15" customHeight="1">
      <c r="A37" s="337"/>
      <c r="B37" s="200" t="s">
        <v>144</v>
      </c>
      <c r="C37" s="196" t="s">
        <v>169</v>
      </c>
      <c r="AO37" s="139" t="str">
        <f>CONCATENATE("Tel:",C37," ","Fax",C38," ","E-mail"," ",C39)</f>
        <v>Tel:0241/XXXXXX Fax0241/XXXXXX E-mail email@pct_lucru_daca_are.ro</v>
      </c>
    </row>
    <row r="38" spans="1:3" s="139" customFormat="1" ht="15" customHeight="1">
      <c r="A38" s="337"/>
      <c r="B38" s="200" t="s">
        <v>145</v>
      </c>
      <c r="C38" s="196" t="s">
        <v>169</v>
      </c>
    </row>
    <row r="39" spans="1:3" s="139" customFormat="1" ht="13.5">
      <c r="A39" s="337"/>
      <c r="B39" s="199" t="s">
        <v>3</v>
      </c>
      <c r="C39" s="259" t="s">
        <v>176</v>
      </c>
    </row>
    <row r="40" spans="1:3" s="139" customFormat="1" ht="13.5">
      <c r="A40" s="337"/>
      <c r="B40" s="199" t="s">
        <v>146</v>
      </c>
      <c r="C40" s="196" t="s">
        <v>177</v>
      </c>
    </row>
    <row r="41" spans="1:3" s="139" customFormat="1" ht="15" customHeight="1">
      <c r="A41" s="337" t="s">
        <v>4</v>
      </c>
      <c r="B41" s="199" t="s">
        <v>137</v>
      </c>
      <c r="C41" s="260" t="s">
        <v>66</v>
      </c>
    </row>
    <row r="42" spans="1:3" s="139" customFormat="1" ht="15" customHeight="1">
      <c r="A42" s="337"/>
      <c r="B42" s="199" t="s">
        <v>225</v>
      </c>
      <c r="C42" s="198" t="s">
        <v>178</v>
      </c>
    </row>
    <row r="43" spans="1:3" s="139" customFormat="1" ht="13.5">
      <c r="A43" s="337"/>
      <c r="B43" s="199" t="s">
        <v>224</v>
      </c>
      <c r="C43" s="198">
        <v>44211</v>
      </c>
    </row>
    <row r="44" spans="1:3" s="139" customFormat="1" ht="15" customHeight="1">
      <c r="A44" s="338" t="s">
        <v>5</v>
      </c>
      <c r="B44" s="199" t="s">
        <v>137</v>
      </c>
      <c r="C44" s="261" t="s">
        <v>63</v>
      </c>
    </row>
    <row r="45" spans="1:3" s="139" customFormat="1" ht="15" customHeight="1">
      <c r="A45" s="338"/>
      <c r="B45" s="199" t="s">
        <v>225</v>
      </c>
      <c r="C45" s="198" t="s">
        <v>179</v>
      </c>
    </row>
    <row r="46" spans="1:3" s="139" customFormat="1" ht="13.5">
      <c r="A46" s="338"/>
      <c r="B46" s="199" t="s">
        <v>224</v>
      </c>
      <c r="C46" s="198">
        <v>44211</v>
      </c>
    </row>
    <row r="47" spans="1:3" s="139" customFormat="1" ht="28.5" customHeight="1">
      <c r="A47" s="252" t="s">
        <v>226</v>
      </c>
      <c r="B47" s="199" t="s">
        <v>227</v>
      </c>
      <c r="C47" s="196"/>
    </row>
    <row r="48" spans="1:3" s="139" customFormat="1" ht="7.5" customHeight="1">
      <c r="A48" s="147"/>
      <c r="B48" s="147"/>
      <c r="C48" s="148"/>
    </row>
    <row r="49" spans="1:2" ht="13.5">
      <c r="A49" s="142" t="s">
        <v>49</v>
      </c>
      <c r="B49" s="265" t="s">
        <v>236</v>
      </c>
    </row>
    <row r="50" spans="1:3" ht="13.5">
      <c r="A50" s="151">
        <f ca="1">TODAY()</f>
        <v>44381</v>
      </c>
      <c r="B50" s="136"/>
      <c r="C50" s="140" t="s">
        <v>87</v>
      </c>
    </row>
    <row r="51" spans="1:3" ht="13.5">
      <c r="A51" s="134"/>
      <c r="B51" s="136"/>
      <c r="C51" s="141" t="str">
        <f>AO22</f>
        <v>Nume Repl Legal Prenume Repl</v>
      </c>
    </row>
    <row r="52" spans="1:3" ht="13.5">
      <c r="A52" s="134"/>
      <c r="B52" s="136"/>
      <c r="C52" s="142" t="s">
        <v>237</v>
      </c>
    </row>
    <row r="53" spans="1:2" ht="13.5">
      <c r="A53" s="134"/>
      <c r="B53" s="136"/>
    </row>
    <row r="54" spans="1:3" ht="13.5">
      <c r="A54" s="134"/>
      <c r="B54" s="136"/>
      <c r="C54" s="135"/>
    </row>
    <row r="55" spans="1:3" ht="13.5">
      <c r="A55" s="134"/>
      <c r="B55" s="136"/>
      <c r="C55" s="135"/>
    </row>
    <row r="56" spans="1:3" ht="13.5">
      <c r="A56" s="143"/>
      <c r="B56" s="137"/>
      <c r="C56" s="135"/>
    </row>
    <row r="57" spans="1:3" ht="13.5">
      <c r="A57" s="143"/>
      <c r="B57" s="137"/>
      <c r="C57" s="135"/>
    </row>
    <row r="58" spans="1:3" ht="13.5">
      <c r="A58" s="143"/>
      <c r="B58" s="137"/>
      <c r="C58" s="135"/>
    </row>
    <row r="59" spans="1:3" ht="13.5">
      <c r="A59" s="143"/>
      <c r="B59" s="138"/>
      <c r="C59" s="135"/>
    </row>
    <row r="60" spans="1:3" ht="13.5">
      <c r="A60" s="143"/>
      <c r="B60" s="138"/>
      <c r="C60" s="135"/>
    </row>
    <row r="61" spans="1:3" ht="13.5">
      <c r="A61" s="143"/>
      <c r="C61" s="135"/>
    </row>
    <row r="62" ht="13.5">
      <c r="C62" s="135"/>
    </row>
  </sheetData>
  <sheetProtection password="DA1A" sheet="1" formatCells="0" formatColumns="0" formatRows="0" insertRows="0" sort="0" autoFilter="0" pivotTables="0"/>
  <mergeCells count="13">
    <mergeCell ref="A4:B4"/>
    <mergeCell ref="A6:A13"/>
    <mergeCell ref="A14:A18"/>
    <mergeCell ref="A19:A21"/>
    <mergeCell ref="A22:A26"/>
    <mergeCell ref="A41:A43"/>
    <mergeCell ref="A44:A46"/>
    <mergeCell ref="B3:C3"/>
    <mergeCell ref="B2:C2"/>
    <mergeCell ref="A5:B5"/>
    <mergeCell ref="A27:C27"/>
    <mergeCell ref="A28:A35"/>
    <mergeCell ref="A36:A40"/>
  </mergeCells>
  <conditionalFormatting sqref="C43 C47">
    <cfRule type="cellIs" priority="3" dxfId="19" operator="lessThanOrEqual" stopIfTrue="1">
      <formula>$AP$4</formula>
    </cfRule>
  </conditionalFormatting>
  <conditionalFormatting sqref="C46">
    <cfRule type="cellIs" priority="2" dxfId="19" operator="lessThanOrEqual" stopIfTrue="1">
      <formula>$AP$4</formula>
    </cfRule>
  </conditionalFormatting>
  <hyperlinks>
    <hyperlink ref="C17" r:id="rId1" display="societate@email.ro"/>
    <hyperlink ref="C18" r:id="rId2" display="www.domeniu.ro"/>
    <hyperlink ref="C26" r:id="rId3" display="email@repllegal.ro"/>
    <hyperlink ref="C39" r:id="rId4" display="email@pct_lucru_daca_are.ro"/>
  </hyperlinks>
  <printOptions horizontalCentered="1"/>
  <pageMargins left="0.1968503937007874" right="0.1968503937007874" top="0.3937007874015748" bottom="0.1968503937007874" header="0.31496062992125984" footer="0.31496062992125984"/>
  <pageSetup horizontalDpi="600" verticalDpi="600" orientation="portrait" paperSize="9" scale="95" r:id="rId7"/>
  <colBreaks count="1" manualBreakCount="1">
    <brk id="5" max="65535" man="1"/>
  </colBreaks>
  <legacyDrawing r:id="rId6"/>
</worksheet>
</file>

<file path=xl/worksheets/sheet2.xml><?xml version="1.0" encoding="utf-8"?>
<worksheet xmlns="http://schemas.openxmlformats.org/spreadsheetml/2006/main" xmlns:r="http://schemas.openxmlformats.org/officeDocument/2006/relationships">
  <sheetPr>
    <tabColor rgb="FF8C3FC5"/>
  </sheetPr>
  <dimension ref="A2:AU39"/>
  <sheetViews>
    <sheetView zoomScalePageLayoutView="0" workbookViewId="0" topLeftCell="A1">
      <selection activeCell="E24" sqref="E24"/>
    </sheetView>
  </sheetViews>
  <sheetFormatPr defaultColWidth="9.140625" defaultRowHeight="12.75"/>
  <cols>
    <col min="1" max="1" width="4.28125" style="66" bestFit="1" customWidth="1"/>
    <col min="2" max="2" width="6.57421875" style="67" bestFit="1" customWidth="1"/>
    <col min="3" max="3" width="23.421875" style="67" customWidth="1"/>
    <col min="4" max="4" width="13.140625" style="67" bestFit="1" customWidth="1"/>
    <col min="5" max="5" width="17.7109375" style="67" customWidth="1"/>
    <col min="6" max="6" width="10.421875" style="67" customWidth="1"/>
    <col min="7" max="7" width="8.8515625" style="67" customWidth="1"/>
    <col min="8" max="8" width="5.7109375" style="67" customWidth="1"/>
    <col min="9" max="9" width="8.8515625" style="67" customWidth="1"/>
    <col min="10" max="10" width="8.28125" style="67" customWidth="1"/>
    <col min="11" max="31" width="6.7109375" style="69" customWidth="1"/>
    <col min="32" max="36" width="10.00390625" style="69" customWidth="1"/>
    <col min="37" max="38" width="10.00390625" style="69" hidden="1" customWidth="1"/>
    <col min="39" max="39" width="11.8515625" style="69" hidden="1" customWidth="1"/>
    <col min="40" max="41" width="10.00390625" style="69" hidden="1" customWidth="1"/>
    <col min="42" max="45" width="10.00390625" style="66" hidden="1" customWidth="1"/>
    <col min="46" max="46" width="8.7109375" style="66" hidden="1" customWidth="1"/>
    <col min="47" max="47" width="5.8515625" style="66" hidden="1" customWidth="1"/>
    <col min="48" max="75" width="10.00390625" style="66" customWidth="1"/>
    <col min="76" max="16384" width="8.8515625" style="66" customWidth="1"/>
  </cols>
  <sheetData>
    <row r="1" ht="9.75" customHeight="1"/>
    <row r="2" spans="3:4" ht="23.25" customHeight="1">
      <c r="C2" s="112" t="s">
        <v>50</v>
      </c>
      <c r="D2" s="182" t="str">
        <f>PROPER(Furnizor!B2)</f>
        <v>Sc Furnizor Anatomie Patologica Srl</v>
      </c>
    </row>
    <row r="3" spans="3:4" ht="13.5">
      <c r="C3" s="2" t="s">
        <v>51</v>
      </c>
      <c r="D3" s="154" t="str">
        <f>PROPER(Furnizor!AO29)</f>
        <v>Loc.Constanta Str.Nume Strada Punct De Lucru Nr.1 </v>
      </c>
    </row>
    <row r="4" spans="3:6" ht="13.5">
      <c r="C4" s="153" t="s">
        <v>86</v>
      </c>
      <c r="D4" s="154" t="str">
        <f>PROPER(Furnizor!C5)</f>
        <v>2222222</v>
      </c>
      <c r="F4" s="68"/>
    </row>
    <row r="5" spans="1:10" s="69" customFormat="1" ht="13.5">
      <c r="A5" s="66"/>
      <c r="B5" s="67"/>
      <c r="C5" s="70"/>
      <c r="D5" s="71"/>
      <c r="E5" s="64" t="s">
        <v>95</v>
      </c>
      <c r="F5" s="67"/>
      <c r="G5" s="67"/>
      <c r="H5" s="67"/>
      <c r="I5" s="155">
        <f ca="1">TODAY()</f>
        <v>44381</v>
      </c>
      <c r="J5" s="67"/>
    </row>
    <row r="6" spans="1:47" s="76" customFormat="1" ht="30" customHeight="1">
      <c r="A6" s="346" t="s">
        <v>53</v>
      </c>
      <c r="B6" s="344" t="s">
        <v>0</v>
      </c>
      <c r="C6" s="344" t="s">
        <v>16</v>
      </c>
      <c r="D6" s="344" t="s">
        <v>17</v>
      </c>
      <c r="E6" s="344" t="s">
        <v>54</v>
      </c>
      <c r="F6" s="344" t="s">
        <v>96</v>
      </c>
      <c r="G6" s="344" t="s">
        <v>23</v>
      </c>
      <c r="H6" s="346" t="s">
        <v>55</v>
      </c>
      <c r="I6" s="344" t="s">
        <v>97</v>
      </c>
      <c r="J6" s="344" t="s">
        <v>98</v>
      </c>
      <c r="K6" s="75"/>
      <c r="L6" s="75"/>
      <c r="M6" s="75"/>
      <c r="N6" s="75"/>
      <c r="O6" s="75"/>
      <c r="P6" s="75"/>
      <c r="Q6" s="75"/>
      <c r="R6" s="75"/>
      <c r="S6" s="75"/>
      <c r="T6" s="75"/>
      <c r="U6" s="75"/>
      <c r="V6" s="75"/>
      <c r="W6" s="75"/>
      <c r="X6" s="75"/>
      <c r="Y6" s="75"/>
      <c r="Z6" s="75"/>
      <c r="AA6" s="75"/>
      <c r="AB6" s="75"/>
      <c r="AC6" s="75"/>
      <c r="AD6" s="75"/>
      <c r="AE6" s="75"/>
      <c r="AF6" s="75"/>
      <c r="AG6" s="75"/>
      <c r="AH6" s="75"/>
      <c r="AI6" s="75"/>
      <c r="AJ6" s="75"/>
      <c r="AT6" s="76" t="s">
        <v>9</v>
      </c>
      <c r="AU6" s="77" t="s">
        <v>31</v>
      </c>
    </row>
    <row r="7" spans="1:47" s="76" customFormat="1" ht="20.25" customHeight="1">
      <c r="A7" s="347"/>
      <c r="B7" s="345"/>
      <c r="C7" s="345"/>
      <c r="D7" s="345"/>
      <c r="E7" s="345"/>
      <c r="F7" s="345"/>
      <c r="G7" s="345"/>
      <c r="H7" s="347"/>
      <c r="I7" s="345"/>
      <c r="J7" s="34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7" t="s">
        <v>112</v>
      </c>
      <c r="AL7" s="77" t="s">
        <v>113</v>
      </c>
      <c r="AM7" s="77" t="s">
        <v>114</v>
      </c>
      <c r="AN7" s="77" t="s">
        <v>111</v>
      </c>
      <c r="AO7" s="77" t="s">
        <v>198</v>
      </c>
      <c r="AP7" s="76" t="s">
        <v>115</v>
      </c>
      <c r="AQ7" s="76" t="s">
        <v>195</v>
      </c>
      <c r="AU7" s="77"/>
    </row>
    <row r="8" spans="1:47" s="74" customFormat="1" ht="13.5">
      <c r="A8" s="184">
        <v>1</v>
      </c>
      <c r="B8" s="205" t="str">
        <f>UPPER(Furnizor!$C$4)</f>
        <v>LXXX</v>
      </c>
      <c r="C8" s="185" t="s">
        <v>157</v>
      </c>
      <c r="D8" s="184">
        <v>17182431131255</v>
      </c>
      <c r="E8" s="184" t="s">
        <v>239</v>
      </c>
      <c r="F8" s="184" t="s">
        <v>92</v>
      </c>
      <c r="G8" s="186" t="s">
        <v>183</v>
      </c>
      <c r="H8" s="187">
        <v>6</v>
      </c>
      <c r="I8" s="218">
        <f aca="true" t="shared" si="0" ref="I8:I22">IF(AQ8&gt;0,0,IF(AQ8=0,AP8))</f>
        <v>40</v>
      </c>
      <c r="J8" s="201">
        <f>IF(H8&gt;=6,I8,(H8*I8)/6)</f>
        <v>40</v>
      </c>
      <c r="K8" s="72"/>
      <c r="L8" s="72"/>
      <c r="M8" s="72"/>
      <c r="N8" s="72"/>
      <c r="O8" s="72"/>
      <c r="P8" s="72"/>
      <c r="Q8" s="72"/>
      <c r="R8" s="72"/>
      <c r="S8" s="72"/>
      <c r="T8" s="72"/>
      <c r="U8" s="72"/>
      <c r="V8" s="72"/>
      <c r="W8" s="72"/>
      <c r="X8" s="72"/>
      <c r="Y8" s="72"/>
      <c r="Z8" s="72"/>
      <c r="AA8" s="72"/>
      <c r="AB8" s="72"/>
      <c r="AC8" s="72"/>
      <c r="AD8" s="72"/>
      <c r="AE8" s="72"/>
      <c r="AF8" s="73"/>
      <c r="AG8" s="73"/>
      <c r="AH8" s="73"/>
      <c r="AI8" s="73"/>
      <c r="AJ8" s="73"/>
      <c r="AK8" s="113">
        <f aca="true" t="shared" si="1" ref="AK8:AK22">IF(AND(E8="Medic anatomopatolog",F8="Primar"),40,IF(AND(E8="Medic anatomopatolog",F8="Specialist"),30,))</f>
        <v>40</v>
      </c>
      <c r="AL8" s="113">
        <f aca="true" t="shared" si="2" ref="AL8:AL34">IF(AND(E8="Biolog_medical",F8="Principal"),25,IF(AND(E8="Biolog_medical",F8="Specialist"),20,IF(AND(E8="Chimist_medical",F8="Principal"),25,IF(AND(E8="Chimist_medical",F8="Specialist"),20,IF(AND(E8="Biochimist_medical",F8="Principal"),25,IF(AND(E8="Biochimist_medical",F8="Specialist"),20,))))))</f>
        <v>0</v>
      </c>
      <c r="AM8" s="113">
        <f aca="true" t="shared" si="3" ref="AM8:AM34">IF(AND(E8="Biolog",F8="Fara_Grad"),15,IF(AND(E8="Chimist",F8="Fara_Grad"),15,IF(AND(E8="Biochimist",F8="Fara_Grad"),15,)))</f>
        <v>0</v>
      </c>
      <c r="AN8" s="113">
        <f aca="true" t="shared" si="4" ref="AN8:AN34">IF(AND(E8="Asistent laborator",F8="Superioare"),10,IF(AND(E8="Asistent laborator",F8="Medii"),8,))</f>
        <v>0</v>
      </c>
      <c r="AO8" s="113">
        <f aca="true" t="shared" si="5" ref="AO8:AO34">IF(AND(E8="Farmacist",F8="Fara_Grad"),15,)</f>
        <v>0</v>
      </c>
      <c r="AP8" s="113">
        <f>SUM(AK8:AO8)</f>
        <v>40</v>
      </c>
      <c r="AQ8" s="206">
        <f>COUNTBLANK(C8:F8)</f>
        <v>0</v>
      </c>
      <c r="AT8" s="116">
        <f aca="true" ca="1" t="shared" si="6" ref="AT8:AT34">TODAY()+25</f>
        <v>44406</v>
      </c>
      <c r="AU8" s="115" t="e">
        <f>IF((#REF!&lt;=AT8),1,0)</f>
        <v>#REF!</v>
      </c>
    </row>
    <row r="9" spans="1:47" s="74" customFormat="1" ht="13.5">
      <c r="A9" s="188">
        <v>2</v>
      </c>
      <c r="B9" s="205" t="str">
        <f>UPPER(Furnizor!$C$4)</f>
        <v>LXXX</v>
      </c>
      <c r="C9" s="185" t="s">
        <v>159</v>
      </c>
      <c r="D9" s="188">
        <v>17182431131255</v>
      </c>
      <c r="E9" s="184" t="s">
        <v>239</v>
      </c>
      <c r="F9" s="184" t="s">
        <v>65</v>
      </c>
      <c r="G9" s="186" t="s">
        <v>160</v>
      </c>
      <c r="H9" s="189">
        <v>8</v>
      </c>
      <c r="I9" s="218">
        <f t="shared" si="0"/>
        <v>30</v>
      </c>
      <c r="J9" s="201">
        <f aca="true" t="shared" si="7" ref="J9:J22">IF(H9&gt;=6,I9,(H9*I9)/6)</f>
        <v>30</v>
      </c>
      <c r="K9" s="72"/>
      <c r="L9" s="72"/>
      <c r="M9" s="72"/>
      <c r="N9" s="72"/>
      <c r="O9" s="72"/>
      <c r="P9" s="72"/>
      <c r="Q9" s="72"/>
      <c r="R9" s="72"/>
      <c r="S9" s="72"/>
      <c r="T9" s="72"/>
      <c r="U9" s="72"/>
      <c r="V9" s="72"/>
      <c r="W9" s="72"/>
      <c r="X9" s="72"/>
      <c r="Y9" s="72"/>
      <c r="Z9" s="72"/>
      <c r="AA9" s="72"/>
      <c r="AB9" s="72"/>
      <c r="AC9" s="72"/>
      <c r="AD9" s="72"/>
      <c r="AE9" s="72"/>
      <c r="AK9" s="113">
        <f t="shared" si="1"/>
        <v>30</v>
      </c>
      <c r="AL9" s="113">
        <f t="shared" si="2"/>
        <v>0</v>
      </c>
      <c r="AM9" s="113">
        <f t="shared" si="3"/>
        <v>0</v>
      </c>
      <c r="AN9" s="113">
        <f t="shared" si="4"/>
        <v>0</v>
      </c>
      <c r="AO9" s="113">
        <f t="shared" si="5"/>
        <v>0</v>
      </c>
      <c r="AP9" s="113">
        <f aca="true" t="shared" si="8" ref="AP9:AP34">SUM(AK9:AO9)</f>
        <v>30</v>
      </c>
      <c r="AQ9" s="206">
        <f aca="true" t="shared" si="9" ref="AQ9:AQ34">COUNTBLANK(C9:F9)</f>
        <v>0</v>
      </c>
      <c r="AR9" s="73"/>
      <c r="AT9" s="116">
        <f ca="1" t="shared" si="6"/>
        <v>44406</v>
      </c>
      <c r="AU9" s="115" t="e">
        <f>IF((#REF!&lt;=AT9),1,0)</f>
        <v>#REF!</v>
      </c>
    </row>
    <row r="10" spans="1:47" s="74" customFormat="1" ht="13.5">
      <c r="A10" s="188">
        <v>3</v>
      </c>
      <c r="B10" s="205" t="str">
        <f>UPPER(Furnizor!$C$4)</f>
        <v>LXXX</v>
      </c>
      <c r="C10" s="190" t="s">
        <v>162</v>
      </c>
      <c r="D10" s="188">
        <v>17182431131255</v>
      </c>
      <c r="E10" s="184" t="s">
        <v>101</v>
      </c>
      <c r="F10" s="184" t="s">
        <v>100</v>
      </c>
      <c r="G10" s="186"/>
      <c r="H10" s="189">
        <v>7</v>
      </c>
      <c r="I10" s="218">
        <f t="shared" si="0"/>
        <v>25</v>
      </c>
      <c r="J10" s="201">
        <f t="shared" si="7"/>
        <v>25</v>
      </c>
      <c r="AK10" s="113">
        <f t="shared" si="1"/>
        <v>0</v>
      </c>
      <c r="AL10" s="113">
        <f t="shared" si="2"/>
        <v>25</v>
      </c>
      <c r="AM10" s="113">
        <f t="shared" si="3"/>
        <v>0</v>
      </c>
      <c r="AN10" s="113">
        <f t="shared" si="4"/>
        <v>0</v>
      </c>
      <c r="AO10" s="113">
        <f t="shared" si="5"/>
        <v>0</v>
      </c>
      <c r="AP10" s="113">
        <f t="shared" si="8"/>
        <v>25</v>
      </c>
      <c r="AQ10" s="206">
        <f t="shared" si="9"/>
        <v>0</v>
      </c>
      <c r="AT10" s="116">
        <f ca="1" t="shared" si="6"/>
        <v>44406</v>
      </c>
      <c r="AU10" s="115" t="e">
        <f>IF((#REF!&lt;=AT10),1,0)</f>
        <v>#REF!</v>
      </c>
    </row>
    <row r="11" spans="1:47" s="74" customFormat="1" ht="13.5">
      <c r="A11" s="184">
        <v>4</v>
      </c>
      <c r="B11" s="205" t="str">
        <f>UPPER(Furnizor!$C$4)</f>
        <v>LXXX</v>
      </c>
      <c r="C11" s="192" t="s">
        <v>163</v>
      </c>
      <c r="D11" s="188">
        <v>17182431131255</v>
      </c>
      <c r="E11" s="184" t="s">
        <v>104</v>
      </c>
      <c r="F11" s="184" t="s">
        <v>65</v>
      </c>
      <c r="G11" s="186"/>
      <c r="H11" s="193">
        <v>5</v>
      </c>
      <c r="I11" s="218">
        <f t="shared" si="0"/>
        <v>20</v>
      </c>
      <c r="J11" s="201">
        <f t="shared" si="7"/>
        <v>16.666666666666668</v>
      </c>
      <c r="AK11" s="113">
        <f t="shared" si="1"/>
        <v>0</v>
      </c>
      <c r="AL11" s="113">
        <f t="shared" si="2"/>
        <v>20</v>
      </c>
      <c r="AM11" s="113">
        <f t="shared" si="3"/>
        <v>0</v>
      </c>
      <c r="AN11" s="113">
        <f t="shared" si="4"/>
        <v>0</v>
      </c>
      <c r="AO11" s="113">
        <f t="shared" si="5"/>
        <v>0</v>
      </c>
      <c r="AP11" s="113">
        <f t="shared" si="8"/>
        <v>20</v>
      </c>
      <c r="AQ11" s="206">
        <f t="shared" si="9"/>
        <v>0</v>
      </c>
      <c r="AT11" s="116">
        <f ca="1" t="shared" si="6"/>
        <v>44406</v>
      </c>
      <c r="AU11" s="115" t="e">
        <f>IF((#REF!&lt;=AT11),1,0)</f>
        <v>#REF!</v>
      </c>
    </row>
    <row r="12" spans="1:47" s="74" customFormat="1" ht="13.5">
      <c r="A12" s="188">
        <v>5</v>
      </c>
      <c r="B12" s="205" t="str">
        <f>UPPER(Furnizor!$C$4)</f>
        <v>LXXX</v>
      </c>
      <c r="C12" s="192" t="s">
        <v>164</v>
      </c>
      <c r="D12" s="188">
        <v>17182431131255</v>
      </c>
      <c r="E12" s="184" t="s">
        <v>93</v>
      </c>
      <c r="F12" s="184" t="s">
        <v>161</v>
      </c>
      <c r="G12" s="191"/>
      <c r="H12" s="193">
        <v>7</v>
      </c>
      <c r="I12" s="218">
        <f t="shared" si="0"/>
        <v>15</v>
      </c>
      <c r="J12" s="201">
        <f t="shared" si="7"/>
        <v>15</v>
      </c>
      <c r="AK12" s="113">
        <f t="shared" si="1"/>
        <v>0</v>
      </c>
      <c r="AL12" s="113">
        <f t="shared" si="2"/>
        <v>0</v>
      </c>
      <c r="AM12" s="113">
        <f t="shared" si="3"/>
        <v>15</v>
      </c>
      <c r="AN12" s="113">
        <f t="shared" si="4"/>
        <v>0</v>
      </c>
      <c r="AO12" s="113">
        <f t="shared" si="5"/>
        <v>0</v>
      </c>
      <c r="AP12" s="113">
        <f t="shared" si="8"/>
        <v>15</v>
      </c>
      <c r="AQ12" s="206">
        <f t="shared" si="9"/>
        <v>0</v>
      </c>
      <c r="AT12" s="116">
        <f ca="1" t="shared" si="6"/>
        <v>44406</v>
      </c>
      <c r="AU12" s="115" t="e">
        <f>IF((#REF!&lt;=AT12),1,0)</f>
        <v>#REF!</v>
      </c>
    </row>
    <row r="13" spans="1:47" s="74" customFormat="1" ht="13.5">
      <c r="A13" s="188">
        <v>6</v>
      </c>
      <c r="B13" s="205" t="s">
        <v>166</v>
      </c>
      <c r="C13" s="190" t="s">
        <v>165</v>
      </c>
      <c r="D13" s="188">
        <v>17182431131255</v>
      </c>
      <c r="E13" s="184" t="s">
        <v>106</v>
      </c>
      <c r="F13" s="184" t="s">
        <v>161</v>
      </c>
      <c r="G13" s="191"/>
      <c r="H13" s="193">
        <v>7</v>
      </c>
      <c r="I13" s="218">
        <f t="shared" si="0"/>
        <v>15</v>
      </c>
      <c r="J13" s="201">
        <f t="shared" si="7"/>
        <v>15</v>
      </c>
      <c r="AK13" s="113">
        <f t="shared" si="1"/>
        <v>0</v>
      </c>
      <c r="AL13" s="113">
        <f t="shared" si="2"/>
        <v>0</v>
      </c>
      <c r="AM13" s="113">
        <f t="shared" si="3"/>
        <v>0</v>
      </c>
      <c r="AN13" s="113">
        <f t="shared" si="4"/>
        <v>0</v>
      </c>
      <c r="AO13" s="113">
        <f t="shared" si="5"/>
        <v>15</v>
      </c>
      <c r="AP13" s="113">
        <f t="shared" si="8"/>
        <v>15</v>
      </c>
      <c r="AQ13" s="206">
        <f t="shared" si="9"/>
        <v>0</v>
      </c>
      <c r="AT13" s="116">
        <f ca="1" t="shared" si="6"/>
        <v>44406</v>
      </c>
      <c r="AU13" s="115" t="e">
        <f>IF((#REF!&lt;=AT13),1,0)</f>
        <v>#REF!</v>
      </c>
    </row>
    <row r="14" spans="1:47" s="74" customFormat="1" ht="12.75" customHeight="1">
      <c r="A14" s="184">
        <v>7</v>
      </c>
      <c r="B14" s="205" t="s">
        <v>166</v>
      </c>
      <c r="C14" s="190" t="s">
        <v>240</v>
      </c>
      <c r="D14" s="188">
        <v>17182431131255</v>
      </c>
      <c r="E14" s="184" t="s">
        <v>241</v>
      </c>
      <c r="F14" s="184" t="s">
        <v>57</v>
      </c>
      <c r="G14" s="186"/>
      <c r="H14" s="193">
        <v>6</v>
      </c>
      <c r="I14" s="218">
        <f t="shared" si="0"/>
        <v>10</v>
      </c>
      <c r="J14" s="201">
        <f t="shared" si="7"/>
        <v>10</v>
      </c>
      <c r="AK14" s="113">
        <f t="shared" si="1"/>
        <v>0</v>
      </c>
      <c r="AL14" s="113">
        <f t="shared" si="2"/>
        <v>0</v>
      </c>
      <c r="AM14" s="113">
        <f t="shared" si="3"/>
        <v>0</v>
      </c>
      <c r="AN14" s="113">
        <f t="shared" si="4"/>
        <v>10</v>
      </c>
      <c r="AO14" s="113">
        <f t="shared" si="5"/>
        <v>0</v>
      </c>
      <c r="AP14" s="113">
        <f t="shared" si="8"/>
        <v>10</v>
      </c>
      <c r="AQ14" s="206">
        <f t="shared" si="9"/>
        <v>0</v>
      </c>
      <c r="AT14" s="116">
        <f ca="1" t="shared" si="6"/>
        <v>44406</v>
      </c>
      <c r="AU14" s="115" t="e">
        <f>IF((#REF!&lt;=AT14),1,0)</f>
        <v>#REF!</v>
      </c>
    </row>
    <row r="15" spans="1:47" s="74" customFormat="1" ht="12.75" customHeight="1">
      <c r="A15" s="188">
        <v>8</v>
      </c>
      <c r="B15" s="205"/>
      <c r="C15" s="190"/>
      <c r="D15" s="188"/>
      <c r="E15" s="184"/>
      <c r="F15" s="184"/>
      <c r="G15" s="186"/>
      <c r="H15" s="193"/>
      <c r="I15" s="218">
        <f t="shared" si="0"/>
        <v>0</v>
      </c>
      <c r="J15" s="201">
        <f t="shared" si="7"/>
        <v>0</v>
      </c>
      <c r="AK15" s="113">
        <f t="shared" si="1"/>
        <v>0</v>
      </c>
      <c r="AL15" s="113">
        <f t="shared" si="2"/>
        <v>0</v>
      </c>
      <c r="AM15" s="113">
        <f t="shared" si="3"/>
        <v>0</v>
      </c>
      <c r="AN15" s="113">
        <f t="shared" si="4"/>
        <v>0</v>
      </c>
      <c r="AO15" s="113">
        <f t="shared" si="5"/>
        <v>0</v>
      </c>
      <c r="AP15" s="113">
        <f t="shared" si="8"/>
        <v>0</v>
      </c>
      <c r="AQ15" s="206">
        <f t="shared" si="9"/>
        <v>4</v>
      </c>
      <c r="AT15" s="116">
        <f ca="1" t="shared" si="6"/>
        <v>44406</v>
      </c>
      <c r="AU15" s="115" t="e">
        <f>IF((#REF!&lt;=AT15),1,0)</f>
        <v>#REF!</v>
      </c>
    </row>
    <row r="16" spans="1:47" s="74" customFormat="1" ht="12.75" customHeight="1">
      <c r="A16" s="188">
        <v>9</v>
      </c>
      <c r="B16" s="205"/>
      <c r="C16" s="190"/>
      <c r="D16" s="188"/>
      <c r="E16" s="184"/>
      <c r="F16" s="184"/>
      <c r="G16" s="186"/>
      <c r="H16" s="193"/>
      <c r="I16" s="218">
        <f t="shared" si="0"/>
        <v>0</v>
      </c>
      <c r="J16" s="201">
        <f t="shared" si="7"/>
        <v>0</v>
      </c>
      <c r="AK16" s="113">
        <f t="shared" si="1"/>
        <v>0</v>
      </c>
      <c r="AL16" s="113">
        <f t="shared" si="2"/>
        <v>0</v>
      </c>
      <c r="AM16" s="113">
        <f t="shared" si="3"/>
        <v>0</v>
      </c>
      <c r="AN16" s="113">
        <f t="shared" si="4"/>
        <v>0</v>
      </c>
      <c r="AO16" s="113">
        <f t="shared" si="5"/>
        <v>0</v>
      </c>
      <c r="AP16" s="113">
        <f t="shared" si="8"/>
        <v>0</v>
      </c>
      <c r="AQ16" s="206">
        <f t="shared" si="9"/>
        <v>4</v>
      </c>
      <c r="AT16" s="116">
        <f ca="1" t="shared" si="6"/>
        <v>44406</v>
      </c>
      <c r="AU16" s="115" t="e">
        <f>IF((#REF!&lt;=AT16),1,0)</f>
        <v>#REF!</v>
      </c>
    </row>
    <row r="17" spans="1:47" s="74" customFormat="1" ht="12.75" customHeight="1">
      <c r="A17" s="184">
        <v>10</v>
      </c>
      <c r="B17" s="205"/>
      <c r="C17" s="190"/>
      <c r="D17" s="188"/>
      <c r="E17" s="184"/>
      <c r="F17" s="184"/>
      <c r="G17" s="186"/>
      <c r="H17" s="193"/>
      <c r="I17" s="218">
        <f t="shared" si="0"/>
        <v>0</v>
      </c>
      <c r="J17" s="201">
        <f t="shared" si="7"/>
        <v>0</v>
      </c>
      <c r="AK17" s="113">
        <f t="shared" si="1"/>
        <v>0</v>
      </c>
      <c r="AL17" s="113">
        <f t="shared" si="2"/>
        <v>0</v>
      </c>
      <c r="AM17" s="113">
        <f t="shared" si="3"/>
        <v>0</v>
      </c>
      <c r="AN17" s="113">
        <f t="shared" si="4"/>
        <v>0</v>
      </c>
      <c r="AO17" s="113">
        <f t="shared" si="5"/>
        <v>0</v>
      </c>
      <c r="AP17" s="113">
        <f t="shared" si="8"/>
        <v>0</v>
      </c>
      <c r="AQ17" s="206">
        <f t="shared" si="9"/>
        <v>4</v>
      </c>
      <c r="AT17" s="116">
        <f ca="1" t="shared" si="6"/>
        <v>44406</v>
      </c>
      <c r="AU17" s="115" t="e">
        <f>IF((#REF!&lt;=AT17),1,0)</f>
        <v>#REF!</v>
      </c>
    </row>
    <row r="18" spans="1:47" s="74" customFormat="1" ht="12.75" customHeight="1">
      <c r="A18" s="188">
        <v>11</v>
      </c>
      <c r="B18" s="205"/>
      <c r="C18" s="190"/>
      <c r="D18" s="188"/>
      <c r="E18" s="184"/>
      <c r="F18" s="184"/>
      <c r="G18" s="186"/>
      <c r="H18" s="193"/>
      <c r="I18" s="218">
        <f t="shared" si="0"/>
        <v>0</v>
      </c>
      <c r="J18" s="201">
        <f t="shared" si="7"/>
        <v>0</v>
      </c>
      <c r="AK18" s="113">
        <f t="shared" si="1"/>
        <v>0</v>
      </c>
      <c r="AL18" s="113">
        <f t="shared" si="2"/>
        <v>0</v>
      </c>
      <c r="AM18" s="113">
        <f t="shared" si="3"/>
        <v>0</v>
      </c>
      <c r="AN18" s="113">
        <f t="shared" si="4"/>
        <v>0</v>
      </c>
      <c r="AO18" s="113">
        <f t="shared" si="5"/>
        <v>0</v>
      </c>
      <c r="AP18" s="113">
        <f t="shared" si="8"/>
        <v>0</v>
      </c>
      <c r="AQ18" s="206">
        <f t="shared" si="9"/>
        <v>4</v>
      </c>
      <c r="AT18" s="116">
        <f ca="1" t="shared" si="6"/>
        <v>44406</v>
      </c>
      <c r="AU18" s="115" t="e">
        <f>IF((#REF!&lt;=AT18),1,0)</f>
        <v>#REF!</v>
      </c>
    </row>
    <row r="19" spans="1:47" s="74" customFormat="1" ht="12.75" customHeight="1">
      <c r="A19" s="188">
        <v>12</v>
      </c>
      <c r="B19" s="205"/>
      <c r="C19" s="190"/>
      <c r="D19" s="188"/>
      <c r="E19" s="184"/>
      <c r="F19" s="184"/>
      <c r="G19" s="186"/>
      <c r="H19" s="193"/>
      <c r="I19" s="218">
        <f t="shared" si="0"/>
        <v>0</v>
      </c>
      <c r="J19" s="201">
        <f t="shared" si="7"/>
        <v>0</v>
      </c>
      <c r="AK19" s="113">
        <f t="shared" si="1"/>
        <v>0</v>
      </c>
      <c r="AL19" s="113">
        <f t="shared" si="2"/>
        <v>0</v>
      </c>
      <c r="AM19" s="113">
        <f t="shared" si="3"/>
        <v>0</v>
      </c>
      <c r="AN19" s="113">
        <f t="shared" si="4"/>
        <v>0</v>
      </c>
      <c r="AO19" s="113">
        <f t="shared" si="5"/>
        <v>0</v>
      </c>
      <c r="AP19" s="113">
        <f t="shared" si="8"/>
        <v>0</v>
      </c>
      <c r="AQ19" s="206">
        <f t="shared" si="9"/>
        <v>4</v>
      </c>
      <c r="AT19" s="116">
        <f ca="1" t="shared" si="6"/>
        <v>44406</v>
      </c>
      <c r="AU19" s="115" t="e">
        <f>IF((#REF!&lt;=AT19),1,0)</f>
        <v>#REF!</v>
      </c>
    </row>
    <row r="20" spans="1:47" s="74" customFormat="1" ht="12.75" customHeight="1">
      <c r="A20" s="184">
        <v>13</v>
      </c>
      <c r="B20" s="205"/>
      <c r="C20" s="190"/>
      <c r="D20" s="188"/>
      <c r="E20" s="184"/>
      <c r="F20" s="184"/>
      <c r="G20" s="186"/>
      <c r="H20" s="193"/>
      <c r="I20" s="218">
        <f t="shared" si="0"/>
        <v>0</v>
      </c>
      <c r="J20" s="201">
        <f t="shared" si="7"/>
        <v>0</v>
      </c>
      <c r="AK20" s="113">
        <f t="shared" si="1"/>
        <v>0</v>
      </c>
      <c r="AL20" s="113">
        <f t="shared" si="2"/>
        <v>0</v>
      </c>
      <c r="AM20" s="113">
        <f t="shared" si="3"/>
        <v>0</v>
      </c>
      <c r="AN20" s="113">
        <f t="shared" si="4"/>
        <v>0</v>
      </c>
      <c r="AO20" s="113">
        <f t="shared" si="5"/>
        <v>0</v>
      </c>
      <c r="AP20" s="113">
        <f t="shared" si="8"/>
        <v>0</v>
      </c>
      <c r="AQ20" s="206">
        <f t="shared" si="9"/>
        <v>4</v>
      </c>
      <c r="AT20" s="116">
        <f ca="1" t="shared" si="6"/>
        <v>44406</v>
      </c>
      <c r="AU20" s="115" t="e">
        <f>IF((#REF!&lt;=AT20),1,0)</f>
        <v>#REF!</v>
      </c>
    </row>
    <row r="21" spans="1:47" s="74" customFormat="1" ht="12.75" customHeight="1">
      <c r="A21" s="188">
        <v>14</v>
      </c>
      <c r="B21" s="205"/>
      <c r="C21" s="190"/>
      <c r="D21" s="188"/>
      <c r="E21" s="184"/>
      <c r="F21" s="184"/>
      <c r="G21" s="186"/>
      <c r="H21" s="193"/>
      <c r="I21" s="218">
        <f t="shared" si="0"/>
        <v>0</v>
      </c>
      <c r="J21" s="201">
        <f t="shared" si="7"/>
        <v>0</v>
      </c>
      <c r="AK21" s="113">
        <f t="shared" si="1"/>
        <v>0</v>
      </c>
      <c r="AL21" s="113">
        <f t="shared" si="2"/>
        <v>0</v>
      </c>
      <c r="AM21" s="113">
        <f t="shared" si="3"/>
        <v>0</v>
      </c>
      <c r="AN21" s="113">
        <f t="shared" si="4"/>
        <v>0</v>
      </c>
      <c r="AO21" s="113">
        <f t="shared" si="5"/>
        <v>0</v>
      </c>
      <c r="AP21" s="113">
        <f t="shared" si="8"/>
        <v>0</v>
      </c>
      <c r="AQ21" s="206">
        <f t="shared" si="9"/>
        <v>4</v>
      </c>
      <c r="AT21" s="116">
        <f ca="1" t="shared" si="6"/>
        <v>44406</v>
      </c>
      <c r="AU21" s="115" t="e">
        <f>IF((#REF!&lt;=AT21),1,0)</f>
        <v>#REF!</v>
      </c>
    </row>
    <row r="22" spans="1:47" s="74" customFormat="1" ht="12.75" customHeight="1">
      <c r="A22" s="188">
        <v>15</v>
      </c>
      <c r="B22" s="205"/>
      <c r="C22" s="190"/>
      <c r="D22" s="188"/>
      <c r="E22" s="184"/>
      <c r="F22" s="184"/>
      <c r="G22" s="186"/>
      <c r="H22" s="193"/>
      <c r="I22" s="218">
        <f t="shared" si="0"/>
        <v>0</v>
      </c>
      <c r="J22" s="201">
        <f t="shared" si="7"/>
        <v>0</v>
      </c>
      <c r="AK22" s="113">
        <f t="shared" si="1"/>
        <v>0</v>
      </c>
      <c r="AL22" s="113">
        <f t="shared" si="2"/>
        <v>0</v>
      </c>
      <c r="AM22" s="113">
        <f t="shared" si="3"/>
        <v>0</v>
      </c>
      <c r="AN22" s="113">
        <f t="shared" si="4"/>
        <v>0</v>
      </c>
      <c r="AO22" s="113">
        <f t="shared" si="5"/>
        <v>0</v>
      </c>
      <c r="AP22" s="113">
        <f t="shared" si="8"/>
        <v>0</v>
      </c>
      <c r="AQ22" s="206">
        <f t="shared" si="9"/>
        <v>4</v>
      </c>
      <c r="AT22" s="116">
        <f ca="1" t="shared" si="6"/>
        <v>44406</v>
      </c>
      <c r="AU22" s="115" t="e">
        <f>IF((#REF!&lt;=AT22),1,0)</f>
        <v>#REF!</v>
      </c>
    </row>
    <row r="23" spans="1:47" s="74" customFormat="1" ht="9.75" customHeight="1">
      <c r="A23" s="117"/>
      <c r="B23" s="207"/>
      <c r="C23" s="208"/>
      <c r="D23" s="209"/>
      <c r="E23" s="210"/>
      <c r="F23" s="210"/>
      <c r="G23" s="211"/>
      <c r="H23" s="212"/>
      <c r="I23" s="117"/>
      <c r="J23" s="213"/>
      <c r="AK23" s="113">
        <f aca="true" t="shared" si="10" ref="AK23:AK34">IF(AND(E23="Medicina de laborator",F23="Primar"),40,IF(AND(E23="Medicina de laborator",F23="Specialist"),30,))</f>
        <v>0</v>
      </c>
      <c r="AL23" s="113">
        <f t="shared" si="2"/>
        <v>0</v>
      </c>
      <c r="AM23" s="113">
        <f t="shared" si="3"/>
        <v>0</v>
      </c>
      <c r="AN23" s="113">
        <f t="shared" si="4"/>
        <v>0</v>
      </c>
      <c r="AO23" s="113">
        <f t="shared" si="5"/>
        <v>0</v>
      </c>
      <c r="AP23" s="113">
        <f t="shared" si="8"/>
        <v>0</v>
      </c>
      <c r="AQ23" s="206">
        <f t="shared" si="9"/>
        <v>4</v>
      </c>
      <c r="AT23" s="116">
        <f ca="1" t="shared" si="6"/>
        <v>44406</v>
      </c>
      <c r="AU23" s="115" t="e">
        <f>IF((#REF!&lt;=AT23),1,0)</f>
        <v>#REF!</v>
      </c>
    </row>
    <row r="24" spans="1:47" ht="12.75" customHeight="1">
      <c r="A24" s="117"/>
      <c r="B24" s="118"/>
      <c r="C24" s="216" t="s">
        <v>196</v>
      </c>
      <c r="D24" s="215">
        <f>COUNT(D8:D22)</f>
        <v>7</v>
      </c>
      <c r="E24" s="117"/>
      <c r="F24" s="117"/>
      <c r="G24" s="118"/>
      <c r="H24" s="217" t="s">
        <v>197</v>
      </c>
      <c r="I24" s="123"/>
      <c r="J24" s="214">
        <f>SUM(J8:J22)</f>
        <v>151.66666666666669</v>
      </c>
      <c r="AK24" s="113">
        <f t="shared" si="10"/>
        <v>0</v>
      </c>
      <c r="AL24" s="113">
        <f t="shared" si="2"/>
        <v>0</v>
      </c>
      <c r="AM24" s="113">
        <f t="shared" si="3"/>
        <v>0</v>
      </c>
      <c r="AN24" s="113">
        <f t="shared" si="4"/>
        <v>0</v>
      </c>
      <c r="AO24" s="113">
        <f t="shared" si="5"/>
        <v>0</v>
      </c>
      <c r="AP24" s="113">
        <f t="shared" si="8"/>
        <v>0</v>
      </c>
      <c r="AQ24" s="206">
        <f t="shared" si="9"/>
        <v>2</v>
      </c>
      <c r="AT24" s="116">
        <f ca="1" t="shared" si="6"/>
        <v>44406</v>
      </c>
      <c r="AU24" s="115" t="e">
        <f>IF((#REF!&lt;=AT24),1,0)</f>
        <v>#REF!</v>
      </c>
    </row>
    <row r="25" spans="1:47" ht="12.75" customHeight="1">
      <c r="A25" s="117"/>
      <c r="B25" s="118"/>
      <c r="C25" s="118"/>
      <c r="D25" s="119"/>
      <c r="E25" s="117"/>
      <c r="F25" s="117"/>
      <c r="G25" s="118"/>
      <c r="H25" s="122"/>
      <c r="I25" s="123"/>
      <c r="J25" s="124"/>
      <c r="AK25" s="113">
        <f t="shared" si="10"/>
        <v>0</v>
      </c>
      <c r="AL25" s="113">
        <f t="shared" si="2"/>
        <v>0</v>
      </c>
      <c r="AM25" s="113">
        <f t="shared" si="3"/>
        <v>0</v>
      </c>
      <c r="AN25" s="113">
        <f t="shared" si="4"/>
        <v>0</v>
      </c>
      <c r="AO25" s="113">
        <f t="shared" si="5"/>
        <v>0</v>
      </c>
      <c r="AP25" s="113">
        <f t="shared" si="8"/>
        <v>0</v>
      </c>
      <c r="AQ25" s="206">
        <f t="shared" si="9"/>
        <v>4</v>
      </c>
      <c r="AT25" s="116">
        <f ca="1" t="shared" si="6"/>
        <v>44406</v>
      </c>
      <c r="AU25" s="115" t="e">
        <f>IF((#REF!&lt;=AT25),1,0)</f>
        <v>#REF!</v>
      </c>
    </row>
    <row r="26" spans="1:47" ht="12.75" customHeight="1">
      <c r="A26" s="117"/>
      <c r="B26" s="118"/>
      <c r="C26" s="152" t="s">
        <v>236</v>
      </c>
      <c r="D26" s="119"/>
      <c r="E26" s="117"/>
      <c r="F26" s="117"/>
      <c r="G26" s="118"/>
      <c r="H26" s="122"/>
      <c r="I26" s="123"/>
      <c r="J26" s="124"/>
      <c r="AK26" s="113">
        <f t="shared" si="10"/>
        <v>0</v>
      </c>
      <c r="AL26" s="113">
        <f t="shared" si="2"/>
        <v>0</v>
      </c>
      <c r="AM26" s="113">
        <f t="shared" si="3"/>
        <v>0</v>
      </c>
      <c r="AN26" s="113">
        <f t="shared" si="4"/>
        <v>0</v>
      </c>
      <c r="AO26" s="113">
        <f t="shared" si="5"/>
        <v>0</v>
      </c>
      <c r="AP26" s="113">
        <f t="shared" si="8"/>
        <v>0</v>
      </c>
      <c r="AQ26" s="206">
        <f t="shared" si="9"/>
        <v>3</v>
      </c>
      <c r="AT26" s="116">
        <f ca="1" t="shared" si="6"/>
        <v>44406</v>
      </c>
      <c r="AU26" s="115" t="e">
        <f>IF((#REF!&lt;=AT26),1,0)</f>
        <v>#REF!</v>
      </c>
    </row>
    <row r="27" spans="1:47" ht="12.75" customHeight="1">
      <c r="A27" s="117"/>
      <c r="B27" s="118"/>
      <c r="C27" s="152" t="s">
        <v>87</v>
      </c>
      <c r="D27" s="119"/>
      <c r="E27" s="117"/>
      <c r="F27" s="117"/>
      <c r="G27" s="118"/>
      <c r="H27" s="122"/>
      <c r="I27" s="123"/>
      <c r="J27" s="124"/>
      <c r="AK27" s="113">
        <f t="shared" si="10"/>
        <v>0</v>
      </c>
      <c r="AL27" s="113">
        <f t="shared" si="2"/>
        <v>0</v>
      </c>
      <c r="AM27" s="113">
        <f t="shared" si="3"/>
        <v>0</v>
      </c>
      <c r="AN27" s="113">
        <f t="shared" si="4"/>
        <v>0</v>
      </c>
      <c r="AO27" s="113">
        <f t="shared" si="5"/>
        <v>0</v>
      </c>
      <c r="AP27" s="113">
        <f t="shared" si="8"/>
        <v>0</v>
      </c>
      <c r="AQ27" s="206">
        <f t="shared" si="9"/>
        <v>3</v>
      </c>
      <c r="AT27" s="116">
        <f ca="1" t="shared" si="6"/>
        <v>44406</v>
      </c>
      <c r="AU27" s="115" t="e">
        <f>IF((#REF!&lt;=AT27),1,0)</f>
        <v>#REF!</v>
      </c>
    </row>
    <row r="28" spans="1:47" ht="12.75" customHeight="1">
      <c r="A28" s="117"/>
      <c r="B28" s="118"/>
      <c r="C28" s="183" t="str">
        <f>PROPER(Furnizor!AO22)</f>
        <v>Nume Repl Legal Prenume Repl</v>
      </c>
      <c r="D28" s="119"/>
      <c r="E28" s="117"/>
      <c r="F28" s="117"/>
      <c r="G28" s="118"/>
      <c r="H28" s="122"/>
      <c r="I28" s="123"/>
      <c r="J28" s="124"/>
      <c r="AK28" s="113">
        <f t="shared" si="10"/>
        <v>0</v>
      </c>
      <c r="AL28" s="113">
        <f t="shared" si="2"/>
        <v>0</v>
      </c>
      <c r="AM28" s="113">
        <f t="shared" si="3"/>
        <v>0</v>
      </c>
      <c r="AN28" s="113">
        <f t="shared" si="4"/>
        <v>0</v>
      </c>
      <c r="AO28" s="113">
        <f t="shared" si="5"/>
        <v>0</v>
      </c>
      <c r="AP28" s="113">
        <f t="shared" si="8"/>
        <v>0</v>
      </c>
      <c r="AQ28" s="206">
        <f t="shared" si="9"/>
        <v>3</v>
      </c>
      <c r="AT28" s="116">
        <f ca="1" t="shared" si="6"/>
        <v>44406</v>
      </c>
      <c r="AU28" s="115" t="e">
        <f>IF((#REF!&lt;=AT28),1,0)</f>
        <v>#REF!</v>
      </c>
    </row>
    <row r="29" spans="1:47" ht="12.75" customHeight="1">
      <c r="A29" s="117"/>
      <c r="B29" s="118"/>
      <c r="C29" s="118" t="s">
        <v>237</v>
      </c>
      <c r="D29" s="119"/>
      <c r="E29" s="117"/>
      <c r="F29" s="117"/>
      <c r="G29" s="118"/>
      <c r="H29" s="122"/>
      <c r="I29" s="123"/>
      <c r="J29" s="124"/>
      <c r="AK29" s="113">
        <f t="shared" si="10"/>
        <v>0</v>
      </c>
      <c r="AL29" s="113">
        <f t="shared" si="2"/>
        <v>0</v>
      </c>
      <c r="AM29" s="113">
        <f t="shared" si="3"/>
        <v>0</v>
      </c>
      <c r="AN29" s="113">
        <f t="shared" si="4"/>
        <v>0</v>
      </c>
      <c r="AO29" s="113">
        <f t="shared" si="5"/>
        <v>0</v>
      </c>
      <c r="AP29" s="113">
        <f t="shared" si="8"/>
        <v>0</v>
      </c>
      <c r="AQ29" s="206">
        <f t="shared" si="9"/>
        <v>3</v>
      </c>
      <c r="AT29" s="116">
        <f ca="1" t="shared" si="6"/>
        <v>44406</v>
      </c>
      <c r="AU29" s="115" t="e">
        <f>IF((#REF!&lt;=AT29),1,0)</f>
        <v>#REF!</v>
      </c>
    </row>
    <row r="30" spans="1:47" ht="12.75" customHeight="1">
      <c r="A30" s="117"/>
      <c r="B30" s="118"/>
      <c r="C30" s="118"/>
      <c r="D30" s="119"/>
      <c r="E30" s="117"/>
      <c r="F30" s="117"/>
      <c r="G30" s="118"/>
      <c r="H30" s="122"/>
      <c r="I30" s="123"/>
      <c r="J30" s="124"/>
      <c r="AK30" s="113">
        <f t="shared" si="10"/>
        <v>0</v>
      </c>
      <c r="AL30" s="113">
        <f t="shared" si="2"/>
        <v>0</v>
      </c>
      <c r="AM30" s="113">
        <f t="shared" si="3"/>
        <v>0</v>
      </c>
      <c r="AN30" s="113">
        <f t="shared" si="4"/>
        <v>0</v>
      </c>
      <c r="AO30" s="113">
        <f t="shared" si="5"/>
        <v>0</v>
      </c>
      <c r="AP30" s="113">
        <f t="shared" si="8"/>
        <v>0</v>
      </c>
      <c r="AQ30" s="206">
        <f t="shared" si="9"/>
        <v>4</v>
      </c>
      <c r="AT30" s="116">
        <f ca="1" t="shared" si="6"/>
        <v>44406</v>
      </c>
      <c r="AU30" s="115" t="e">
        <f>IF((#REF!&lt;=AT30),1,0)</f>
        <v>#REF!</v>
      </c>
    </row>
    <row r="31" spans="1:47" ht="12.75" customHeight="1">
      <c r="A31" s="117"/>
      <c r="B31" s="118"/>
      <c r="C31" s="118"/>
      <c r="D31" s="119"/>
      <c r="E31" s="117"/>
      <c r="F31" s="117"/>
      <c r="G31" s="118"/>
      <c r="H31" s="122"/>
      <c r="I31" s="123"/>
      <c r="J31" s="124"/>
      <c r="AK31" s="113">
        <f t="shared" si="10"/>
        <v>0</v>
      </c>
      <c r="AL31" s="113">
        <f t="shared" si="2"/>
        <v>0</v>
      </c>
      <c r="AM31" s="113">
        <f t="shared" si="3"/>
        <v>0</v>
      </c>
      <c r="AN31" s="113">
        <f t="shared" si="4"/>
        <v>0</v>
      </c>
      <c r="AO31" s="113">
        <f t="shared" si="5"/>
        <v>0</v>
      </c>
      <c r="AP31" s="113">
        <f t="shared" si="8"/>
        <v>0</v>
      </c>
      <c r="AQ31" s="206">
        <f t="shared" si="9"/>
        <v>4</v>
      </c>
      <c r="AT31" s="116">
        <f ca="1" t="shared" si="6"/>
        <v>44406</v>
      </c>
      <c r="AU31" s="115" t="e">
        <f>IF((#REF!&lt;=AT31),1,0)</f>
        <v>#REF!</v>
      </c>
    </row>
    <row r="32" spans="1:47" ht="12.75" customHeight="1">
      <c r="A32" s="117"/>
      <c r="B32" s="118"/>
      <c r="C32" s="118"/>
      <c r="D32" s="119"/>
      <c r="E32" s="117"/>
      <c r="F32" s="117"/>
      <c r="G32" s="118"/>
      <c r="H32" s="122"/>
      <c r="I32" s="123"/>
      <c r="J32" s="124"/>
      <c r="AK32" s="113">
        <f t="shared" si="10"/>
        <v>0</v>
      </c>
      <c r="AL32" s="113">
        <f t="shared" si="2"/>
        <v>0</v>
      </c>
      <c r="AM32" s="113">
        <f t="shared" si="3"/>
        <v>0</v>
      </c>
      <c r="AN32" s="113">
        <f t="shared" si="4"/>
        <v>0</v>
      </c>
      <c r="AO32" s="113">
        <f t="shared" si="5"/>
        <v>0</v>
      </c>
      <c r="AP32" s="113">
        <f t="shared" si="8"/>
        <v>0</v>
      </c>
      <c r="AQ32" s="206">
        <f t="shared" si="9"/>
        <v>4</v>
      </c>
      <c r="AT32" s="116">
        <f ca="1" t="shared" si="6"/>
        <v>44406</v>
      </c>
      <c r="AU32" s="115" t="e">
        <f>IF((#REF!&lt;=AT32),1,0)</f>
        <v>#REF!</v>
      </c>
    </row>
    <row r="33" spans="1:47" ht="12.75" customHeight="1">
      <c r="A33" s="117"/>
      <c r="B33" s="118"/>
      <c r="C33" s="118"/>
      <c r="D33" s="119"/>
      <c r="E33" s="117"/>
      <c r="F33" s="117"/>
      <c r="G33" s="118"/>
      <c r="H33" s="122"/>
      <c r="I33" s="123"/>
      <c r="J33" s="124"/>
      <c r="AK33" s="113">
        <f t="shared" si="10"/>
        <v>0</v>
      </c>
      <c r="AL33" s="113">
        <f t="shared" si="2"/>
        <v>0</v>
      </c>
      <c r="AM33" s="113">
        <f t="shared" si="3"/>
        <v>0</v>
      </c>
      <c r="AN33" s="113">
        <f t="shared" si="4"/>
        <v>0</v>
      </c>
      <c r="AO33" s="113">
        <f t="shared" si="5"/>
        <v>0</v>
      </c>
      <c r="AP33" s="113">
        <f t="shared" si="8"/>
        <v>0</v>
      </c>
      <c r="AQ33" s="206">
        <f t="shared" si="9"/>
        <v>4</v>
      </c>
      <c r="AT33" s="116">
        <f ca="1" t="shared" si="6"/>
        <v>44406</v>
      </c>
      <c r="AU33" s="115" t="e">
        <f>IF((#REF!&lt;=AT33),1,0)</f>
        <v>#REF!</v>
      </c>
    </row>
    <row r="34" spans="1:47" ht="12.75" customHeight="1">
      <c r="A34" s="117"/>
      <c r="B34" s="118"/>
      <c r="C34" s="118"/>
      <c r="D34" s="119"/>
      <c r="E34" s="117"/>
      <c r="F34" s="117"/>
      <c r="G34" s="118"/>
      <c r="H34" s="122"/>
      <c r="I34" s="123"/>
      <c r="J34" s="124"/>
      <c r="AK34" s="113">
        <f t="shared" si="10"/>
        <v>0</v>
      </c>
      <c r="AL34" s="113">
        <f t="shared" si="2"/>
        <v>0</v>
      </c>
      <c r="AM34" s="113">
        <f t="shared" si="3"/>
        <v>0</v>
      </c>
      <c r="AN34" s="113">
        <f t="shared" si="4"/>
        <v>0</v>
      </c>
      <c r="AO34" s="113">
        <f t="shared" si="5"/>
        <v>0</v>
      </c>
      <c r="AP34" s="113">
        <f t="shared" si="8"/>
        <v>0</v>
      </c>
      <c r="AQ34" s="206">
        <f t="shared" si="9"/>
        <v>4</v>
      </c>
      <c r="AT34" s="116">
        <f ca="1" t="shared" si="6"/>
        <v>44406</v>
      </c>
      <c r="AU34" s="115" t="e">
        <f>IF((#REF!&lt;=AT34),1,0)</f>
        <v>#REF!</v>
      </c>
    </row>
    <row r="35" spans="1:10" ht="12.75" customHeight="1">
      <c r="A35" s="117"/>
      <c r="B35" s="118"/>
      <c r="C35" s="118"/>
      <c r="D35" s="119"/>
      <c r="E35" s="117"/>
      <c r="F35" s="117"/>
      <c r="G35" s="118"/>
      <c r="H35" s="122"/>
      <c r="I35" s="123"/>
      <c r="J35" s="124"/>
    </row>
    <row r="36" spans="1:10" ht="12.75" customHeight="1">
      <c r="A36" s="117"/>
      <c r="B36" s="118"/>
      <c r="C36" s="118"/>
      <c r="D36" s="119"/>
      <c r="E36" s="117"/>
      <c r="F36" s="117"/>
      <c r="G36" s="118"/>
      <c r="H36" s="122"/>
      <c r="I36" s="123"/>
      <c r="J36" s="124"/>
    </row>
    <row r="37" spans="1:10" ht="12.75" customHeight="1">
      <c r="A37" s="117"/>
      <c r="B37" s="118"/>
      <c r="C37" s="118"/>
      <c r="D37" s="119"/>
      <c r="E37" s="117"/>
      <c r="F37" s="117"/>
      <c r="G37" s="118"/>
      <c r="H37" s="122"/>
      <c r="I37" s="123"/>
      <c r="J37" s="124"/>
    </row>
    <row r="38" spans="1:10" ht="12.75" customHeight="1">
      <c r="A38" s="117"/>
      <c r="B38" s="120"/>
      <c r="C38" s="120"/>
      <c r="D38" s="121"/>
      <c r="E38" s="117"/>
      <c r="F38" s="117"/>
      <c r="G38" s="120"/>
      <c r="H38" s="125"/>
      <c r="I38" s="126"/>
      <c r="J38" s="127"/>
    </row>
    <row r="39" spans="8:10" ht="12.75" customHeight="1">
      <c r="H39" s="128"/>
      <c r="I39" s="128"/>
      <c r="J39" s="128"/>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password="DA1A" sheet="1" objects="1" scenarios="1" insertColumns="0" insertRows="0" deleteColumns="0" deleteRows="0" autoFilter="0"/>
  <autoFilter ref="A6:J22"/>
  <mergeCells count="10">
    <mergeCell ref="G6:G7"/>
    <mergeCell ref="H6:H7"/>
    <mergeCell ref="I6:I7"/>
    <mergeCell ref="J6:J7"/>
    <mergeCell ref="A6:A7"/>
    <mergeCell ref="B6:B7"/>
    <mergeCell ref="C6:C7"/>
    <mergeCell ref="D6:D7"/>
    <mergeCell ref="E6:E7"/>
    <mergeCell ref="F6:F7"/>
  </mergeCells>
  <dataValidations count="3">
    <dataValidation type="list" allowBlank="1" showInputMessage="1" showErrorMessage="1" sqref="E8:E22">
      <formula1>"Medic anatomopatolog,Biolog_medical,Chimist_medical,Biochimist_medical,Biolog,Farmacist,Chimist,Biochimist,Asistent laborator"</formula1>
    </dataValidation>
    <dataValidation type="decimal" allowBlank="1" showInputMessage="1" showErrorMessage="1" sqref="H8:H23">
      <formula1>1</formula1>
      <formula2>8</formula2>
    </dataValidation>
    <dataValidation type="list" allowBlank="1" showInputMessage="1" showErrorMessage="1" sqref="F8:F22">
      <formula1>"Primar,Specialist,Principal,Fara_Grad,Medii,Superioare"</formula1>
    </dataValidation>
  </dataValidations>
  <printOptions horizontalCentered="1"/>
  <pageMargins left="0.1968503937007874" right="0.1968503937007874" top="0.5905511811023623" bottom="0.1968503937007874" header="0.31496062992125984" footer="0.31496062992125984"/>
  <pageSetup horizontalDpi="600" verticalDpi="600" orientation="landscape" paperSize="9" r:id="rId1"/>
  <ignoredErrors>
    <ignoredError sqref="G11:G12 G9" numberStoredAsText="1"/>
  </ignoredErrors>
</worksheet>
</file>

<file path=xl/worksheets/sheet3.xml><?xml version="1.0" encoding="utf-8"?>
<worksheet xmlns="http://schemas.openxmlformats.org/spreadsheetml/2006/main" xmlns:r="http://schemas.openxmlformats.org/officeDocument/2006/relationships">
  <sheetPr>
    <tabColor rgb="FF0000FF"/>
  </sheetPr>
  <dimension ref="A1:AT49"/>
  <sheetViews>
    <sheetView zoomScalePageLayoutView="0" workbookViewId="0" topLeftCell="A1">
      <pane xSplit="9" ySplit="8" topLeftCell="J9" activePane="bottomRight" state="frozen"/>
      <selection pane="topLeft" activeCell="A1" sqref="A1"/>
      <selection pane="topRight" activeCell="N1" sqref="N1"/>
      <selection pane="bottomLeft" activeCell="A8" sqref="A8"/>
      <selection pane="bottomRight" activeCell="B9" sqref="B9:B15"/>
    </sheetView>
  </sheetViews>
  <sheetFormatPr defaultColWidth="9.00390625" defaultRowHeight="12.75"/>
  <cols>
    <col min="1" max="1" width="11.00390625" style="50" customWidth="1"/>
    <col min="2" max="2" width="39.8515625" style="50" customWidth="1"/>
    <col min="3" max="3" width="14.421875" style="50" customWidth="1"/>
    <col min="4" max="4" width="15.00390625" style="49" customWidth="1"/>
    <col min="5" max="5" width="12.421875" style="49" customWidth="1"/>
    <col min="6" max="6" width="7.8515625" style="49" customWidth="1"/>
    <col min="7" max="7" width="11.421875" style="49" customWidth="1"/>
    <col min="8" max="8" width="9.421875" style="49" customWidth="1"/>
    <col min="9" max="9" width="10.28125" style="50" bestFit="1" customWidth="1"/>
    <col min="10" max="28" width="7.421875" style="50" customWidth="1"/>
    <col min="29" max="29" width="13.140625" style="50" customWidth="1"/>
    <col min="30" max="30" width="7.28125" style="50" customWidth="1"/>
    <col min="31" max="31" width="8.421875" style="50" hidden="1" customWidth="1"/>
    <col min="32" max="32" width="6.140625" style="49" hidden="1" customWidth="1"/>
    <col min="33" max="33" width="6.7109375" style="49" hidden="1" customWidth="1"/>
    <col min="34" max="34" width="7.57421875" style="50" hidden="1" customWidth="1"/>
    <col min="35" max="35" width="6.7109375" style="50" hidden="1" customWidth="1"/>
    <col min="36" max="36" width="6.421875" style="50" hidden="1" customWidth="1"/>
    <col min="37" max="37" width="6.28125" style="50" hidden="1" customWidth="1"/>
    <col min="38" max="38" width="5.57421875" style="50" hidden="1" customWidth="1"/>
    <col min="39" max="39" width="4.8515625" style="49" hidden="1" customWidth="1"/>
    <col min="40" max="40" width="7.421875" style="49" hidden="1" customWidth="1"/>
    <col min="41" max="41" width="25.57421875" style="49" hidden="1" customWidth="1"/>
    <col min="42" max="42" width="3.8515625" style="49" hidden="1" customWidth="1"/>
    <col min="43" max="43" width="7.00390625" style="49" hidden="1" customWidth="1"/>
    <col min="44" max="46" width="9.00390625" style="49" hidden="1" customWidth="1"/>
    <col min="47" max="69" width="9.00390625" style="49" customWidth="1"/>
    <col min="70" max="16384" width="9.00390625" style="49" customWidth="1"/>
  </cols>
  <sheetData>
    <row r="1" spans="1:9" ht="12.75">
      <c r="A1" s="278"/>
      <c r="B1" s="278"/>
      <c r="C1" s="278"/>
      <c r="D1" s="279"/>
      <c r="E1" s="279"/>
      <c r="F1" s="279"/>
      <c r="G1" s="279"/>
      <c r="H1" s="279"/>
      <c r="I1" s="278"/>
    </row>
    <row r="2" spans="1:9" ht="18" customHeight="1">
      <c r="A2" s="355" t="s">
        <v>50</v>
      </c>
      <c r="B2" s="355"/>
      <c r="C2" s="354" t="str">
        <f>PROPER(Furnizor!B2)</f>
        <v>Sc Furnizor Anatomie Patologica Srl</v>
      </c>
      <c r="D2" s="354"/>
      <c r="E2" s="354"/>
      <c r="F2" s="280"/>
      <c r="G2" s="281"/>
      <c r="H2" s="281"/>
      <c r="I2" s="278"/>
    </row>
    <row r="3" spans="1:9" ht="16.5" customHeight="1">
      <c r="A3" s="278" t="s">
        <v>51</v>
      </c>
      <c r="B3" s="282" t="str">
        <f>PROPER(Furnizor!AO29)</f>
        <v>Loc.Constanta Str.Nume Strada Punct De Lucru Nr.1 </v>
      </c>
      <c r="C3" s="283"/>
      <c r="D3" s="279"/>
      <c r="E3" s="65"/>
      <c r="F3" s="65"/>
      <c r="G3" s="65"/>
      <c r="H3" s="65"/>
      <c r="I3" s="278"/>
    </row>
    <row r="4" spans="1:9" ht="12.75">
      <c r="A4" s="278" t="s">
        <v>52</v>
      </c>
      <c r="B4" s="284" t="str">
        <f>PROPER(Furnizor!C4)</f>
        <v>Lxxx</v>
      </c>
      <c r="C4" s="283"/>
      <c r="D4" s="279"/>
      <c r="E4" s="285"/>
      <c r="F4" s="285"/>
      <c r="G4" s="285"/>
      <c r="H4" s="285"/>
      <c r="I4" s="278"/>
    </row>
    <row r="5" spans="1:31" ht="12.75">
      <c r="A5" s="62" t="s">
        <v>86</v>
      </c>
      <c r="B5" s="277" t="str">
        <f>PROPER(Furnizor!C5)</f>
        <v>2222222</v>
      </c>
      <c r="C5" s="278"/>
      <c r="D5" s="279"/>
      <c r="E5" s="279"/>
      <c r="F5" s="285"/>
      <c r="G5" s="285"/>
      <c r="H5" s="106" t="s">
        <v>49</v>
      </c>
      <c r="I5" s="278"/>
      <c r="AD5" s="61"/>
      <c r="AE5" s="61"/>
    </row>
    <row r="6" spans="1:31" ht="12.75">
      <c r="A6" s="286"/>
      <c r="B6" s="286"/>
      <c r="C6" s="286"/>
      <c r="D6" s="285"/>
      <c r="E6" s="285"/>
      <c r="F6" s="285"/>
      <c r="G6" s="285"/>
      <c r="H6" s="287">
        <f ca="1">TODAY()</f>
        <v>44381</v>
      </c>
      <c r="I6" s="278"/>
      <c r="J6" s="62"/>
      <c r="K6" s="62"/>
      <c r="L6" s="62"/>
      <c r="M6" s="62"/>
      <c r="N6" s="62"/>
      <c r="O6" s="62"/>
      <c r="P6" s="62"/>
      <c r="Q6" s="62"/>
      <c r="R6" s="62"/>
      <c r="S6" s="62"/>
      <c r="T6" s="62"/>
      <c r="U6" s="62"/>
      <c r="V6" s="62"/>
      <c r="W6" s="62"/>
      <c r="X6" s="62"/>
      <c r="Y6" s="62"/>
      <c r="Z6" s="62"/>
      <c r="AA6" s="62"/>
      <c r="AB6" s="62"/>
      <c r="AC6" s="62"/>
      <c r="AD6" s="62"/>
      <c r="AE6" s="61"/>
    </row>
    <row r="7" spans="1:31" ht="12.75" customHeight="1">
      <c r="A7" s="356" t="s">
        <v>242</v>
      </c>
      <c r="B7" s="351" t="s">
        <v>68</v>
      </c>
      <c r="C7" s="351" t="s">
        <v>260</v>
      </c>
      <c r="D7" s="351" t="s">
        <v>84</v>
      </c>
      <c r="E7" s="351" t="s">
        <v>83</v>
      </c>
      <c r="F7" s="351" t="s">
        <v>82</v>
      </c>
      <c r="G7" s="353" t="s">
        <v>81</v>
      </c>
      <c r="H7" s="353" t="s">
        <v>80</v>
      </c>
      <c r="I7" s="353" t="s">
        <v>98</v>
      </c>
      <c r="J7" s="60"/>
      <c r="K7" s="60"/>
      <c r="L7" s="60"/>
      <c r="M7" s="60"/>
      <c r="N7" s="60"/>
      <c r="O7" s="60"/>
      <c r="P7" s="60"/>
      <c r="Q7" s="60"/>
      <c r="R7" s="60"/>
      <c r="S7" s="60"/>
      <c r="T7" s="60"/>
      <c r="U7" s="60"/>
      <c r="V7" s="60"/>
      <c r="W7" s="60"/>
      <c r="X7" s="60"/>
      <c r="Y7" s="60"/>
      <c r="Z7" s="60"/>
      <c r="AA7" s="60"/>
      <c r="AB7" s="60"/>
      <c r="AC7" s="60"/>
      <c r="AD7" s="60"/>
      <c r="AE7" s="349" t="s">
        <v>79</v>
      </c>
    </row>
    <row r="8" spans="1:40" ht="23.25" customHeight="1">
      <c r="A8" s="357"/>
      <c r="B8" s="351"/>
      <c r="C8" s="351"/>
      <c r="D8" s="351"/>
      <c r="E8" s="352"/>
      <c r="F8" s="352"/>
      <c r="G8" s="353"/>
      <c r="H8" s="353"/>
      <c r="I8" s="353"/>
      <c r="J8" s="60"/>
      <c r="K8" s="60"/>
      <c r="L8" s="60"/>
      <c r="M8" s="60"/>
      <c r="N8" s="60"/>
      <c r="O8" s="60"/>
      <c r="P8" s="60"/>
      <c r="Q8" s="60"/>
      <c r="R8" s="60"/>
      <c r="S8" s="60"/>
      <c r="T8" s="60"/>
      <c r="U8" s="60"/>
      <c r="V8" s="60"/>
      <c r="W8" s="60"/>
      <c r="X8" s="60"/>
      <c r="Y8" s="60"/>
      <c r="Z8" s="60"/>
      <c r="AA8" s="60"/>
      <c r="AB8" s="60"/>
      <c r="AC8" s="60"/>
      <c r="AD8" s="60"/>
      <c r="AE8" s="350"/>
      <c r="AF8" s="49" t="s">
        <v>78</v>
      </c>
      <c r="AG8" s="49" t="s">
        <v>77</v>
      </c>
      <c r="AH8" s="50" t="s">
        <v>76</v>
      </c>
      <c r="AI8" s="55" t="s">
        <v>75</v>
      </c>
      <c r="AJ8" s="55" t="s">
        <v>74</v>
      </c>
      <c r="AK8" s="55" t="s">
        <v>73</v>
      </c>
      <c r="AL8" s="55" t="s">
        <v>72</v>
      </c>
      <c r="AM8" s="49" t="s">
        <v>71</v>
      </c>
      <c r="AN8" s="49" t="s">
        <v>70</v>
      </c>
    </row>
    <row r="9" spans="1:46" s="63" customFormat="1" ht="13.5">
      <c r="A9" s="357"/>
      <c r="B9" s="356" t="s">
        <v>259</v>
      </c>
      <c r="C9" s="56" t="s">
        <v>59</v>
      </c>
      <c r="D9" s="96" t="s">
        <v>261</v>
      </c>
      <c r="E9" s="97" t="s">
        <v>181</v>
      </c>
      <c r="F9" s="97">
        <v>2014</v>
      </c>
      <c r="G9" s="56" t="s">
        <v>58</v>
      </c>
      <c r="H9" s="56" t="s">
        <v>58</v>
      </c>
      <c r="I9" s="98">
        <f>IF(AG9&gt;0,AI9-(AI9*AG9)/100,AI9)</f>
        <v>4</v>
      </c>
      <c r="J9" s="99"/>
      <c r="K9" s="99"/>
      <c r="L9" s="99"/>
      <c r="M9" s="99"/>
      <c r="N9" s="99"/>
      <c r="O9" s="99"/>
      <c r="P9" s="99"/>
      <c r="Q9" s="99"/>
      <c r="R9" s="99"/>
      <c r="S9" s="99"/>
      <c r="T9" s="99"/>
      <c r="U9" s="99"/>
      <c r="V9" s="99"/>
      <c r="W9" s="99"/>
      <c r="X9" s="99"/>
      <c r="Y9" s="99"/>
      <c r="Z9" s="99"/>
      <c r="AA9" s="99"/>
      <c r="AB9" s="99"/>
      <c r="AC9" s="99"/>
      <c r="AD9" s="99"/>
      <c r="AE9" s="100">
        <f>IF(F9&gt;0,$AS$9-F9,0)</f>
        <v>7</v>
      </c>
      <c r="AF9" s="101">
        <f>AE9-8</f>
        <v>-1</v>
      </c>
      <c r="AG9" s="63">
        <f>AF9*20</f>
        <v>-20</v>
      </c>
      <c r="AH9" s="276">
        <f aca="true" t="shared" si="0" ref="AH9:AH15">IF(C9="Da",6,IF(C9="Nu",4,))</f>
        <v>4</v>
      </c>
      <c r="AI9" s="102">
        <f>IF(AL9=1,AH9,0)</f>
        <v>4</v>
      </c>
      <c r="AJ9" s="103">
        <f>COUNTBLANK(C9:H9)</f>
        <v>0</v>
      </c>
      <c r="AK9" s="103">
        <f>IF(G9="Nu",0,IF(H9="Nu",0,1))</f>
        <v>1</v>
      </c>
      <c r="AL9" s="103">
        <f>IF(AJ9&gt;0,0,IF(AK9=0,0,1))</f>
        <v>1</v>
      </c>
      <c r="AM9" s="63">
        <v>10</v>
      </c>
      <c r="AN9" s="63">
        <f>IF(AG9&gt;0,AM9-(AM9*AG9)/100,AM9)</f>
        <v>10</v>
      </c>
      <c r="AO9" s="63" t="str">
        <f>$C$2</f>
        <v>Sc Furnizor Anatomie Patologica Srl</v>
      </c>
      <c r="AP9" s="63" t="str">
        <f>$B$4</f>
        <v>Lxxx</v>
      </c>
      <c r="AQ9" s="63" t="str">
        <f>$B$5</f>
        <v>2222222</v>
      </c>
      <c r="AS9" s="63">
        <f ca="1">YEAR(TODAY())</f>
        <v>2021</v>
      </c>
      <c r="AT9" s="63">
        <f ca="1">YEAR(TODAY())-12</f>
        <v>2009</v>
      </c>
    </row>
    <row r="10" spans="1:43" s="63" customFormat="1" ht="13.5">
      <c r="A10" s="357"/>
      <c r="B10" s="357"/>
      <c r="C10" s="56" t="s">
        <v>58</v>
      </c>
      <c r="D10" s="56" t="s">
        <v>273</v>
      </c>
      <c r="E10" s="159" t="s">
        <v>182</v>
      </c>
      <c r="F10" s="97">
        <v>2016</v>
      </c>
      <c r="G10" s="56" t="s">
        <v>58</v>
      </c>
      <c r="H10" s="56" t="s">
        <v>58</v>
      </c>
      <c r="I10" s="98">
        <f aca="true" t="shared" si="1" ref="I10:I32">IF(AG10&gt;0,AI10-(AI10*AG10)/100,AI10)</f>
        <v>6</v>
      </c>
      <c r="J10" s="99"/>
      <c r="K10" s="99"/>
      <c r="L10" s="99"/>
      <c r="M10" s="99"/>
      <c r="N10" s="99"/>
      <c r="O10" s="99"/>
      <c r="P10" s="99"/>
      <c r="Q10" s="99"/>
      <c r="R10" s="99"/>
      <c r="S10" s="99"/>
      <c r="T10" s="99"/>
      <c r="U10" s="99"/>
      <c r="V10" s="99"/>
      <c r="W10" s="99"/>
      <c r="X10" s="99"/>
      <c r="Y10" s="99"/>
      <c r="Z10" s="99"/>
      <c r="AA10" s="99"/>
      <c r="AB10" s="99"/>
      <c r="AC10" s="99"/>
      <c r="AD10" s="99"/>
      <c r="AE10" s="100">
        <f aca="true" t="shared" si="2" ref="AE10:AE32">IF(F10&gt;0,$AS$9-F10,0)</f>
        <v>5</v>
      </c>
      <c r="AF10" s="101">
        <f aca="true" t="shared" si="3" ref="AF10:AF32">AE10-8</f>
        <v>-3</v>
      </c>
      <c r="AG10" s="63">
        <f aca="true" t="shared" si="4" ref="AG10:AG32">AF10*20</f>
        <v>-60</v>
      </c>
      <c r="AH10" s="276">
        <f t="shared" si="0"/>
        <v>6</v>
      </c>
      <c r="AI10" s="102">
        <f aca="true" t="shared" si="5" ref="AI10:AI32">IF(AL10=1,AH10,0)</f>
        <v>6</v>
      </c>
      <c r="AJ10" s="103">
        <f aca="true" t="shared" si="6" ref="AJ10:AJ15">COUNTBLANK(C10:H10)</f>
        <v>0</v>
      </c>
      <c r="AK10" s="103">
        <f aca="true" t="shared" si="7" ref="AK10:AK32">IF(G10="Nu",0,IF(H10="Nu",0,1))</f>
        <v>1</v>
      </c>
      <c r="AL10" s="103">
        <f aca="true" t="shared" si="8" ref="AL10:AL32">IF(AJ10&gt;0,0,IF(AK10=0,0,1))</f>
        <v>1</v>
      </c>
      <c r="AM10" s="63">
        <v>10</v>
      </c>
      <c r="AN10" s="63">
        <f aca="true" t="shared" si="9" ref="AN10:AN32">IF(AG10&gt;0,AM10-(AM10*AG10)/100,AM10)</f>
        <v>10</v>
      </c>
      <c r="AO10" s="63" t="str">
        <f>$C$2</f>
        <v>Sc Furnizor Anatomie Patologica Srl</v>
      </c>
      <c r="AP10" s="63" t="str">
        <f>$B$4</f>
        <v>Lxxx</v>
      </c>
      <c r="AQ10" s="63" t="str">
        <f>$B$5</f>
        <v>2222222</v>
      </c>
    </row>
    <row r="11" spans="1:43" s="63" customFormat="1" ht="13.5">
      <c r="A11" s="357"/>
      <c r="B11" s="357"/>
      <c r="C11" s="56"/>
      <c r="D11" s="56"/>
      <c r="E11" s="159"/>
      <c r="F11" s="97"/>
      <c r="G11" s="56"/>
      <c r="H11" s="56"/>
      <c r="I11" s="98">
        <f t="shared" si="1"/>
        <v>0</v>
      </c>
      <c r="J11" s="99"/>
      <c r="K11" s="99"/>
      <c r="L11" s="99"/>
      <c r="M11" s="99"/>
      <c r="N11" s="99"/>
      <c r="O11" s="99"/>
      <c r="P11" s="99"/>
      <c r="Q11" s="99"/>
      <c r="R11" s="99"/>
      <c r="S11" s="99"/>
      <c r="T11" s="99"/>
      <c r="U11" s="99"/>
      <c r="V11" s="99"/>
      <c r="W11" s="99"/>
      <c r="X11" s="99"/>
      <c r="Y11" s="99"/>
      <c r="Z11" s="99"/>
      <c r="AA11" s="99"/>
      <c r="AB11" s="99"/>
      <c r="AC11" s="99"/>
      <c r="AD11" s="99"/>
      <c r="AE11" s="100">
        <f t="shared" si="2"/>
        <v>0</v>
      </c>
      <c r="AF11" s="101">
        <f t="shared" si="3"/>
        <v>-8</v>
      </c>
      <c r="AG11" s="63">
        <f t="shared" si="4"/>
        <v>-160</v>
      </c>
      <c r="AH11" s="276">
        <f t="shared" si="0"/>
        <v>0</v>
      </c>
      <c r="AI11" s="102">
        <f t="shared" si="5"/>
        <v>0</v>
      </c>
      <c r="AJ11" s="103">
        <f t="shared" si="6"/>
        <v>6</v>
      </c>
      <c r="AK11" s="103">
        <f t="shared" si="7"/>
        <v>1</v>
      </c>
      <c r="AL11" s="103">
        <f t="shared" si="8"/>
        <v>0</v>
      </c>
      <c r="AM11" s="63">
        <v>10</v>
      </c>
      <c r="AN11" s="63">
        <f t="shared" si="9"/>
        <v>10</v>
      </c>
      <c r="AO11" s="63" t="str">
        <f aca="true" t="shared" si="10" ref="AO11:AO21">$C$2</f>
        <v>Sc Furnizor Anatomie Patologica Srl</v>
      </c>
      <c r="AP11" s="63" t="str">
        <f aca="true" t="shared" si="11" ref="AP11:AP20">$B$4</f>
        <v>Lxxx</v>
      </c>
      <c r="AQ11" s="63" t="str">
        <f aca="true" t="shared" si="12" ref="AQ11:AQ21">$B$5</f>
        <v>2222222</v>
      </c>
    </row>
    <row r="12" spans="1:43" s="63" customFormat="1" ht="13.5">
      <c r="A12" s="357"/>
      <c r="B12" s="357"/>
      <c r="C12" s="56"/>
      <c r="D12" s="56"/>
      <c r="E12" s="159"/>
      <c r="F12" s="97"/>
      <c r="G12" s="56"/>
      <c r="H12" s="56"/>
      <c r="I12" s="98">
        <f t="shared" si="1"/>
        <v>0</v>
      </c>
      <c r="J12" s="99"/>
      <c r="K12" s="99"/>
      <c r="L12" s="99"/>
      <c r="M12" s="99"/>
      <c r="N12" s="99"/>
      <c r="O12" s="99"/>
      <c r="P12" s="99"/>
      <c r="Q12" s="99"/>
      <c r="R12" s="99"/>
      <c r="S12" s="99"/>
      <c r="T12" s="99"/>
      <c r="U12" s="99"/>
      <c r="V12" s="99"/>
      <c r="W12" s="99"/>
      <c r="X12" s="99"/>
      <c r="Y12" s="99"/>
      <c r="Z12" s="99"/>
      <c r="AA12" s="99"/>
      <c r="AB12" s="99"/>
      <c r="AC12" s="99"/>
      <c r="AD12" s="99"/>
      <c r="AE12" s="100">
        <f t="shared" si="2"/>
        <v>0</v>
      </c>
      <c r="AF12" s="101">
        <f t="shared" si="3"/>
        <v>-8</v>
      </c>
      <c r="AG12" s="63">
        <f t="shared" si="4"/>
        <v>-160</v>
      </c>
      <c r="AH12" s="276">
        <f t="shared" si="0"/>
        <v>0</v>
      </c>
      <c r="AI12" s="102">
        <f t="shared" si="5"/>
        <v>0</v>
      </c>
      <c r="AJ12" s="103">
        <f t="shared" si="6"/>
        <v>6</v>
      </c>
      <c r="AK12" s="103">
        <f t="shared" si="7"/>
        <v>1</v>
      </c>
      <c r="AL12" s="103">
        <f t="shared" si="8"/>
        <v>0</v>
      </c>
      <c r="AM12" s="63">
        <v>10</v>
      </c>
      <c r="AN12" s="63">
        <f t="shared" si="9"/>
        <v>10</v>
      </c>
      <c r="AO12" s="63" t="str">
        <f t="shared" si="10"/>
        <v>Sc Furnizor Anatomie Patologica Srl</v>
      </c>
      <c r="AP12" s="63" t="str">
        <f t="shared" si="11"/>
        <v>Lxxx</v>
      </c>
      <c r="AQ12" s="63" t="str">
        <f t="shared" si="12"/>
        <v>2222222</v>
      </c>
    </row>
    <row r="13" spans="1:43" s="63" customFormat="1" ht="13.5">
      <c r="A13" s="357"/>
      <c r="B13" s="357"/>
      <c r="C13" s="56"/>
      <c r="D13" s="56"/>
      <c r="E13" s="159"/>
      <c r="F13" s="97"/>
      <c r="G13" s="56"/>
      <c r="H13" s="56"/>
      <c r="I13" s="98">
        <f t="shared" si="1"/>
        <v>0</v>
      </c>
      <c r="J13" s="99"/>
      <c r="K13" s="99"/>
      <c r="L13" s="99"/>
      <c r="M13" s="99"/>
      <c r="N13" s="99"/>
      <c r="O13" s="99"/>
      <c r="P13" s="99"/>
      <c r="Q13" s="99"/>
      <c r="R13" s="99"/>
      <c r="S13" s="99"/>
      <c r="T13" s="99"/>
      <c r="U13" s="99"/>
      <c r="V13" s="99"/>
      <c r="W13" s="99"/>
      <c r="X13" s="99"/>
      <c r="Y13" s="99"/>
      <c r="Z13" s="99"/>
      <c r="AA13" s="99"/>
      <c r="AB13" s="99"/>
      <c r="AC13" s="99"/>
      <c r="AD13" s="99"/>
      <c r="AE13" s="100">
        <f t="shared" si="2"/>
        <v>0</v>
      </c>
      <c r="AF13" s="101">
        <f t="shared" si="3"/>
        <v>-8</v>
      </c>
      <c r="AG13" s="63">
        <f t="shared" si="4"/>
        <v>-160</v>
      </c>
      <c r="AH13" s="276">
        <f t="shared" si="0"/>
        <v>0</v>
      </c>
      <c r="AI13" s="102">
        <f t="shared" si="5"/>
        <v>0</v>
      </c>
      <c r="AJ13" s="103">
        <f t="shared" si="6"/>
        <v>6</v>
      </c>
      <c r="AK13" s="103">
        <f t="shared" si="7"/>
        <v>1</v>
      </c>
      <c r="AL13" s="103">
        <f t="shared" si="8"/>
        <v>0</v>
      </c>
      <c r="AM13" s="63">
        <v>10</v>
      </c>
      <c r="AN13" s="63">
        <f t="shared" si="9"/>
        <v>10</v>
      </c>
      <c r="AO13" s="63" t="str">
        <f t="shared" si="10"/>
        <v>Sc Furnizor Anatomie Patologica Srl</v>
      </c>
      <c r="AP13" s="63" t="str">
        <f t="shared" si="11"/>
        <v>Lxxx</v>
      </c>
      <c r="AQ13" s="63" t="str">
        <f t="shared" si="12"/>
        <v>2222222</v>
      </c>
    </row>
    <row r="14" spans="1:43" s="63" customFormat="1" ht="13.5">
      <c r="A14" s="357"/>
      <c r="B14" s="357"/>
      <c r="C14" s="56"/>
      <c r="D14" s="56"/>
      <c r="E14" s="159"/>
      <c r="F14" s="97"/>
      <c r="G14" s="56"/>
      <c r="H14" s="56"/>
      <c r="I14" s="98">
        <f t="shared" si="1"/>
        <v>0</v>
      </c>
      <c r="J14" s="99"/>
      <c r="K14" s="99"/>
      <c r="L14" s="99"/>
      <c r="M14" s="99"/>
      <c r="N14" s="99"/>
      <c r="O14" s="99"/>
      <c r="P14" s="99"/>
      <c r="Q14" s="99"/>
      <c r="R14" s="99"/>
      <c r="S14" s="99"/>
      <c r="T14" s="99"/>
      <c r="U14" s="99"/>
      <c r="V14" s="99"/>
      <c r="W14" s="99"/>
      <c r="X14" s="99"/>
      <c r="Y14" s="99"/>
      <c r="Z14" s="99"/>
      <c r="AA14" s="99"/>
      <c r="AB14" s="99"/>
      <c r="AC14" s="99"/>
      <c r="AD14" s="99"/>
      <c r="AE14" s="100">
        <f t="shared" si="2"/>
        <v>0</v>
      </c>
      <c r="AF14" s="101">
        <f t="shared" si="3"/>
        <v>-8</v>
      </c>
      <c r="AG14" s="63">
        <f t="shared" si="4"/>
        <v>-160</v>
      </c>
      <c r="AH14" s="276">
        <f t="shared" si="0"/>
        <v>0</v>
      </c>
      <c r="AI14" s="102">
        <f t="shared" si="5"/>
        <v>0</v>
      </c>
      <c r="AJ14" s="103">
        <f t="shared" si="6"/>
        <v>6</v>
      </c>
      <c r="AK14" s="103">
        <f t="shared" si="7"/>
        <v>1</v>
      </c>
      <c r="AL14" s="103">
        <f t="shared" si="8"/>
        <v>0</v>
      </c>
      <c r="AM14" s="63">
        <v>10</v>
      </c>
      <c r="AN14" s="63">
        <f t="shared" si="9"/>
        <v>10</v>
      </c>
      <c r="AO14" s="63" t="str">
        <f t="shared" si="10"/>
        <v>Sc Furnizor Anatomie Patologica Srl</v>
      </c>
      <c r="AP14" s="63" t="str">
        <f t="shared" si="11"/>
        <v>Lxxx</v>
      </c>
      <c r="AQ14" s="63" t="str">
        <f t="shared" si="12"/>
        <v>2222222</v>
      </c>
    </row>
    <row r="15" spans="1:43" s="63" customFormat="1" ht="13.5">
      <c r="A15" s="358"/>
      <c r="B15" s="358"/>
      <c r="C15" s="56"/>
      <c r="D15" s="56"/>
      <c r="E15" s="159"/>
      <c r="F15" s="97"/>
      <c r="G15" s="56"/>
      <c r="H15" s="56"/>
      <c r="I15" s="98">
        <f t="shared" si="1"/>
        <v>0</v>
      </c>
      <c r="J15" s="99"/>
      <c r="K15" s="99"/>
      <c r="L15" s="99"/>
      <c r="M15" s="99"/>
      <c r="N15" s="99"/>
      <c r="O15" s="99"/>
      <c r="P15" s="99"/>
      <c r="Q15" s="99"/>
      <c r="R15" s="99"/>
      <c r="S15" s="99"/>
      <c r="T15" s="99"/>
      <c r="U15" s="99"/>
      <c r="V15" s="99"/>
      <c r="W15" s="99"/>
      <c r="X15" s="99"/>
      <c r="Y15" s="99"/>
      <c r="Z15" s="99"/>
      <c r="AA15" s="99"/>
      <c r="AB15" s="99"/>
      <c r="AC15" s="99"/>
      <c r="AD15" s="99"/>
      <c r="AE15" s="100">
        <f t="shared" si="2"/>
        <v>0</v>
      </c>
      <c r="AF15" s="101">
        <f t="shared" si="3"/>
        <v>-8</v>
      </c>
      <c r="AG15" s="63">
        <f t="shared" si="4"/>
        <v>-160</v>
      </c>
      <c r="AH15" s="276">
        <f t="shared" si="0"/>
        <v>0</v>
      </c>
      <c r="AI15" s="102">
        <f t="shared" si="5"/>
        <v>0</v>
      </c>
      <c r="AJ15" s="103">
        <f t="shared" si="6"/>
        <v>6</v>
      </c>
      <c r="AK15" s="103">
        <f t="shared" si="7"/>
        <v>1</v>
      </c>
      <c r="AL15" s="103">
        <f t="shared" si="8"/>
        <v>0</v>
      </c>
      <c r="AM15" s="63">
        <v>10</v>
      </c>
      <c r="AN15" s="63">
        <f t="shared" si="9"/>
        <v>10</v>
      </c>
      <c r="AO15" s="63" t="str">
        <f t="shared" si="10"/>
        <v>Sc Furnizor Anatomie Patologica Srl</v>
      </c>
      <c r="AP15" s="63" t="str">
        <f t="shared" si="11"/>
        <v>Lxxx</v>
      </c>
      <c r="AQ15" s="63" t="str">
        <f t="shared" si="12"/>
        <v>2222222</v>
      </c>
    </row>
    <row r="16" spans="1:38" s="63" customFormat="1" ht="15.75" customHeight="1">
      <c r="A16" s="348" t="s">
        <v>262</v>
      </c>
      <c r="B16" s="348"/>
      <c r="C16" s="348"/>
      <c r="D16" s="157">
        <f>COUNTA(D9:D15)</f>
        <v>2</v>
      </c>
      <c r="E16" s="362" t="s">
        <v>268</v>
      </c>
      <c r="F16" s="362"/>
      <c r="G16" s="362"/>
      <c r="H16" s="362"/>
      <c r="I16" s="158">
        <f>I9+I10</f>
        <v>10</v>
      </c>
      <c r="J16" s="104"/>
      <c r="K16" s="104"/>
      <c r="L16" s="104"/>
      <c r="M16" s="104"/>
      <c r="N16" s="104"/>
      <c r="O16" s="104"/>
      <c r="P16" s="104"/>
      <c r="Q16" s="104"/>
      <c r="R16" s="104"/>
      <c r="S16" s="104"/>
      <c r="T16" s="104"/>
      <c r="U16" s="104"/>
      <c r="V16" s="104"/>
      <c r="W16" s="104"/>
      <c r="X16" s="104"/>
      <c r="Y16" s="104"/>
      <c r="Z16" s="104"/>
      <c r="AA16" s="104"/>
      <c r="AB16" s="104"/>
      <c r="AC16" s="104"/>
      <c r="AD16" s="104"/>
      <c r="AE16" s="100"/>
      <c r="AF16" s="101"/>
      <c r="AH16" s="276"/>
      <c r="AI16" s="102"/>
      <c r="AJ16" s="103"/>
      <c r="AK16" s="103"/>
      <c r="AL16" s="103"/>
    </row>
    <row r="17" spans="1:38" s="63" customFormat="1" ht="41.25">
      <c r="A17" s="359" t="s">
        <v>243</v>
      </c>
      <c r="B17" s="57" t="s">
        <v>68</v>
      </c>
      <c r="C17" s="57" t="s">
        <v>263</v>
      </c>
      <c r="D17" s="57" t="s">
        <v>84</v>
      </c>
      <c r="E17" s="267" t="s">
        <v>83</v>
      </c>
      <c r="F17" s="267" t="s">
        <v>82</v>
      </c>
      <c r="G17" s="267" t="s">
        <v>81</v>
      </c>
      <c r="H17" s="267" t="s">
        <v>80</v>
      </c>
      <c r="I17" s="270" t="s">
        <v>98</v>
      </c>
      <c r="J17" s="104"/>
      <c r="K17" s="104"/>
      <c r="L17" s="104"/>
      <c r="M17" s="104"/>
      <c r="N17" s="104"/>
      <c r="O17" s="104"/>
      <c r="P17" s="104"/>
      <c r="Q17" s="104"/>
      <c r="R17" s="104"/>
      <c r="S17" s="104"/>
      <c r="T17" s="104"/>
      <c r="U17" s="104"/>
      <c r="V17" s="104"/>
      <c r="W17" s="104"/>
      <c r="X17" s="104"/>
      <c r="Y17" s="104"/>
      <c r="Z17" s="104"/>
      <c r="AA17" s="104"/>
      <c r="AB17" s="104"/>
      <c r="AC17" s="104"/>
      <c r="AD17" s="104"/>
      <c r="AE17" s="100"/>
      <c r="AF17" s="101"/>
      <c r="AH17" s="276"/>
      <c r="AI17" s="102"/>
      <c r="AJ17" s="103"/>
      <c r="AK17" s="103"/>
      <c r="AL17" s="103"/>
    </row>
    <row r="18" spans="1:43" s="106" customFormat="1" ht="27">
      <c r="A18" s="360"/>
      <c r="B18" s="271" t="s">
        <v>244</v>
      </c>
      <c r="C18" s="56" t="s">
        <v>59</v>
      </c>
      <c r="D18" s="267" t="s">
        <v>264</v>
      </c>
      <c r="E18" s="267" t="s">
        <v>181</v>
      </c>
      <c r="F18" s="97">
        <v>2012</v>
      </c>
      <c r="G18" s="56" t="s">
        <v>58</v>
      </c>
      <c r="H18" s="56" t="s">
        <v>58</v>
      </c>
      <c r="I18" s="270">
        <f t="shared" si="1"/>
        <v>0</v>
      </c>
      <c r="J18" s="104"/>
      <c r="K18" s="104"/>
      <c r="L18" s="104"/>
      <c r="M18" s="104"/>
      <c r="N18" s="104"/>
      <c r="O18" s="104"/>
      <c r="P18" s="104"/>
      <c r="Q18" s="104"/>
      <c r="R18" s="104"/>
      <c r="S18" s="104"/>
      <c r="T18" s="104"/>
      <c r="U18" s="104"/>
      <c r="V18" s="104"/>
      <c r="W18" s="104"/>
      <c r="X18" s="104"/>
      <c r="Y18" s="104"/>
      <c r="Z18" s="104"/>
      <c r="AA18" s="104"/>
      <c r="AB18" s="104"/>
      <c r="AC18" s="104"/>
      <c r="AD18" s="104"/>
      <c r="AE18" s="100">
        <f t="shared" si="2"/>
        <v>9</v>
      </c>
      <c r="AF18" s="101">
        <f t="shared" si="3"/>
        <v>1</v>
      </c>
      <c r="AG18" s="63">
        <f t="shared" si="4"/>
        <v>20</v>
      </c>
      <c r="AH18" s="276">
        <f>IF(C18="Da",40,0)</f>
        <v>0</v>
      </c>
      <c r="AI18" s="102">
        <f t="shared" si="5"/>
        <v>0</v>
      </c>
      <c r="AJ18" s="103">
        <f>COUNTBLANK(C18:H18)</f>
        <v>0</v>
      </c>
      <c r="AK18" s="103">
        <f t="shared" si="7"/>
        <v>1</v>
      </c>
      <c r="AL18" s="103">
        <f t="shared" si="8"/>
        <v>1</v>
      </c>
      <c r="AM18" s="63">
        <v>10</v>
      </c>
      <c r="AN18" s="63">
        <f t="shared" si="9"/>
        <v>8</v>
      </c>
      <c r="AO18" s="63" t="str">
        <f t="shared" si="10"/>
        <v>Sc Furnizor Anatomie Patologica Srl</v>
      </c>
      <c r="AP18" s="63" t="str">
        <f t="shared" si="11"/>
        <v>Lxxx</v>
      </c>
      <c r="AQ18" s="63" t="str">
        <f t="shared" si="12"/>
        <v>2222222</v>
      </c>
    </row>
    <row r="19" spans="1:43" s="63" customFormat="1" ht="13.5">
      <c r="A19" s="360"/>
      <c r="B19" s="272" t="s">
        <v>245</v>
      </c>
      <c r="C19" s="56" t="s">
        <v>58</v>
      </c>
      <c r="D19" s="268" t="s">
        <v>265</v>
      </c>
      <c r="E19" s="107" t="s">
        <v>266</v>
      </c>
      <c r="F19" s="97">
        <v>2020</v>
      </c>
      <c r="G19" s="56" t="s">
        <v>58</v>
      </c>
      <c r="H19" s="56" t="s">
        <v>58</v>
      </c>
      <c r="I19" s="270">
        <f t="shared" si="1"/>
        <v>15</v>
      </c>
      <c r="J19" s="99"/>
      <c r="K19" s="99"/>
      <c r="L19" s="99"/>
      <c r="M19" s="99"/>
      <c r="N19" s="99"/>
      <c r="O19" s="99"/>
      <c r="P19" s="99"/>
      <c r="Q19" s="99"/>
      <c r="R19" s="99"/>
      <c r="S19" s="99"/>
      <c r="T19" s="99"/>
      <c r="U19" s="99"/>
      <c r="V19" s="99"/>
      <c r="W19" s="99"/>
      <c r="X19" s="99"/>
      <c r="Y19" s="99"/>
      <c r="Z19" s="99"/>
      <c r="AA19" s="99"/>
      <c r="AB19" s="99"/>
      <c r="AC19" s="99"/>
      <c r="AD19" s="99"/>
      <c r="AE19" s="100">
        <f t="shared" si="2"/>
        <v>1</v>
      </c>
      <c r="AF19" s="101">
        <f t="shared" si="3"/>
        <v>-7</v>
      </c>
      <c r="AG19" s="63">
        <f t="shared" si="4"/>
        <v>-140</v>
      </c>
      <c r="AH19" s="276">
        <f>IF(C19="Da",15,0)</f>
        <v>15</v>
      </c>
      <c r="AI19" s="102">
        <f t="shared" si="5"/>
        <v>15</v>
      </c>
      <c r="AJ19" s="103">
        <f aca="true" t="shared" si="13" ref="AJ19:AJ32">COUNTBLANK(C19:H19)</f>
        <v>0</v>
      </c>
      <c r="AK19" s="103">
        <f t="shared" si="7"/>
        <v>1</v>
      </c>
      <c r="AL19" s="103">
        <f t="shared" si="8"/>
        <v>1</v>
      </c>
      <c r="AM19" s="63">
        <v>10</v>
      </c>
      <c r="AN19" s="63">
        <f t="shared" si="9"/>
        <v>10</v>
      </c>
      <c r="AO19" s="63" t="str">
        <f t="shared" si="10"/>
        <v>Sc Furnizor Anatomie Patologica Srl</v>
      </c>
      <c r="AP19" s="63" t="str">
        <f t="shared" si="11"/>
        <v>Lxxx</v>
      </c>
      <c r="AQ19" s="63" t="str">
        <f t="shared" si="12"/>
        <v>2222222</v>
      </c>
    </row>
    <row r="20" spans="1:43" s="106" customFormat="1" ht="27">
      <c r="A20" s="360"/>
      <c r="B20" s="271" t="s">
        <v>246</v>
      </c>
      <c r="C20" s="56" t="s">
        <v>59</v>
      </c>
      <c r="D20" s="57" t="s">
        <v>271</v>
      </c>
      <c r="E20" s="59" t="s">
        <v>266</v>
      </c>
      <c r="F20" s="97">
        <v>2020</v>
      </c>
      <c r="G20" s="56" t="s">
        <v>58</v>
      </c>
      <c r="H20" s="56" t="s">
        <v>58</v>
      </c>
      <c r="I20" s="270">
        <f t="shared" si="1"/>
        <v>0</v>
      </c>
      <c r="J20" s="104"/>
      <c r="K20" s="104"/>
      <c r="L20" s="104"/>
      <c r="M20" s="104"/>
      <c r="N20" s="104"/>
      <c r="O20" s="104"/>
      <c r="P20" s="104"/>
      <c r="Q20" s="104"/>
      <c r="R20" s="104"/>
      <c r="S20" s="104"/>
      <c r="T20" s="104"/>
      <c r="U20" s="104"/>
      <c r="V20" s="104"/>
      <c r="W20" s="104"/>
      <c r="X20" s="104"/>
      <c r="Y20" s="104"/>
      <c r="Z20" s="104"/>
      <c r="AA20" s="104"/>
      <c r="AB20" s="104"/>
      <c r="AC20" s="104"/>
      <c r="AD20" s="104"/>
      <c r="AE20" s="100">
        <f t="shared" si="2"/>
        <v>1</v>
      </c>
      <c r="AF20" s="101">
        <f t="shared" si="3"/>
        <v>-7</v>
      </c>
      <c r="AG20" s="63">
        <f t="shared" si="4"/>
        <v>-140</v>
      </c>
      <c r="AH20" s="276">
        <f>IF(C20="Da",5,0)</f>
        <v>0</v>
      </c>
      <c r="AI20" s="102">
        <f t="shared" si="5"/>
        <v>0</v>
      </c>
      <c r="AJ20" s="103">
        <f t="shared" si="13"/>
        <v>0</v>
      </c>
      <c r="AK20" s="103">
        <f t="shared" si="7"/>
        <v>1</v>
      </c>
      <c r="AL20" s="103">
        <f t="shared" si="8"/>
        <v>1</v>
      </c>
      <c r="AM20" s="63">
        <v>10</v>
      </c>
      <c r="AN20" s="63">
        <f t="shared" si="9"/>
        <v>10</v>
      </c>
      <c r="AO20" s="63" t="str">
        <f t="shared" si="10"/>
        <v>Sc Furnizor Anatomie Patologica Srl</v>
      </c>
      <c r="AP20" s="63" t="str">
        <f t="shared" si="11"/>
        <v>Lxxx</v>
      </c>
      <c r="AQ20" s="63" t="str">
        <f t="shared" si="12"/>
        <v>2222222</v>
      </c>
    </row>
    <row r="21" spans="1:43" s="63" customFormat="1" ht="13.5">
      <c r="A21" s="360"/>
      <c r="B21" s="271" t="s">
        <v>247</v>
      </c>
      <c r="C21" s="56"/>
      <c r="D21" s="57"/>
      <c r="E21" s="59"/>
      <c r="F21" s="97"/>
      <c r="G21" s="56"/>
      <c r="H21" s="56"/>
      <c r="I21" s="270">
        <f t="shared" si="1"/>
        <v>0</v>
      </c>
      <c r="J21" s="104"/>
      <c r="K21" s="104"/>
      <c r="L21" s="104"/>
      <c r="M21" s="104"/>
      <c r="N21" s="104"/>
      <c r="O21" s="104"/>
      <c r="P21" s="104"/>
      <c r="Q21" s="104"/>
      <c r="R21" s="104"/>
      <c r="S21" s="104"/>
      <c r="T21" s="104"/>
      <c r="U21" s="104"/>
      <c r="V21" s="104"/>
      <c r="W21" s="104"/>
      <c r="X21" s="104"/>
      <c r="Y21" s="104"/>
      <c r="Z21" s="104"/>
      <c r="AA21" s="104"/>
      <c r="AB21" s="104"/>
      <c r="AC21" s="104"/>
      <c r="AD21" s="104"/>
      <c r="AE21" s="100">
        <f t="shared" si="2"/>
        <v>0</v>
      </c>
      <c r="AF21" s="101">
        <f t="shared" si="3"/>
        <v>-8</v>
      </c>
      <c r="AG21" s="63">
        <f t="shared" si="4"/>
        <v>-160</v>
      </c>
      <c r="AH21" s="276">
        <f>IF(C21="Da",6,0)</f>
        <v>0</v>
      </c>
      <c r="AI21" s="102">
        <f t="shared" si="5"/>
        <v>0</v>
      </c>
      <c r="AJ21" s="103">
        <f t="shared" si="13"/>
        <v>6</v>
      </c>
      <c r="AK21" s="103">
        <f t="shared" si="7"/>
        <v>1</v>
      </c>
      <c r="AL21" s="103">
        <f t="shared" si="8"/>
        <v>0</v>
      </c>
      <c r="AM21" s="63">
        <v>10</v>
      </c>
      <c r="AN21" s="63">
        <f t="shared" si="9"/>
        <v>10</v>
      </c>
      <c r="AO21" s="63" t="str">
        <f t="shared" si="10"/>
        <v>Sc Furnizor Anatomie Patologica Srl</v>
      </c>
      <c r="AP21" s="63" t="str">
        <f aca="true" t="shared" si="14" ref="AP21:AP32">$B$4</f>
        <v>Lxxx</v>
      </c>
      <c r="AQ21" s="63" t="str">
        <f t="shared" si="12"/>
        <v>2222222</v>
      </c>
    </row>
    <row r="22" spans="1:43" s="63" customFormat="1" ht="13.5">
      <c r="A22" s="360"/>
      <c r="B22" s="271" t="s">
        <v>248</v>
      </c>
      <c r="C22" s="56"/>
      <c r="D22" s="57"/>
      <c r="E22" s="59"/>
      <c r="F22" s="97"/>
      <c r="G22" s="56"/>
      <c r="H22" s="56"/>
      <c r="I22" s="270">
        <f t="shared" si="1"/>
        <v>0</v>
      </c>
      <c r="J22" s="104"/>
      <c r="K22" s="104"/>
      <c r="L22" s="104"/>
      <c r="M22" s="104"/>
      <c r="N22" s="104"/>
      <c r="O22" s="104"/>
      <c r="P22" s="104"/>
      <c r="Q22" s="104"/>
      <c r="R22" s="104"/>
      <c r="S22" s="104"/>
      <c r="T22" s="104"/>
      <c r="U22" s="104"/>
      <c r="V22" s="104"/>
      <c r="W22" s="104"/>
      <c r="X22" s="104"/>
      <c r="Y22" s="104"/>
      <c r="Z22" s="104"/>
      <c r="AA22" s="104"/>
      <c r="AB22" s="104"/>
      <c r="AC22" s="104"/>
      <c r="AD22" s="104"/>
      <c r="AE22" s="100">
        <f t="shared" si="2"/>
        <v>0</v>
      </c>
      <c r="AF22" s="101">
        <f t="shared" si="3"/>
        <v>-8</v>
      </c>
      <c r="AG22" s="63">
        <f t="shared" si="4"/>
        <v>-160</v>
      </c>
      <c r="AH22" s="276">
        <f>IF(C22="Da",5,0)</f>
        <v>0</v>
      </c>
      <c r="AI22" s="102">
        <f t="shared" si="5"/>
        <v>0</v>
      </c>
      <c r="AJ22" s="103">
        <f t="shared" si="13"/>
        <v>6</v>
      </c>
      <c r="AK22" s="103">
        <f t="shared" si="7"/>
        <v>1</v>
      </c>
      <c r="AL22" s="103">
        <f t="shared" si="8"/>
        <v>0</v>
      </c>
      <c r="AM22" s="63">
        <v>10</v>
      </c>
      <c r="AN22" s="63">
        <f t="shared" si="9"/>
        <v>10</v>
      </c>
      <c r="AO22" s="63" t="str">
        <f aca="true" t="shared" si="15" ref="AO22:AO32">$C$2</f>
        <v>Sc Furnizor Anatomie Patologica Srl</v>
      </c>
      <c r="AP22" s="63" t="str">
        <f t="shared" si="14"/>
        <v>Lxxx</v>
      </c>
      <c r="AQ22" s="63" t="str">
        <f aca="true" t="shared" si="16" ref="AQ22:AQ32">$B$5</f>
        <v>2222222</v>
      </c>
    </row>
    <row r="23" spans="1:43" s="106" customFormat="1" ht="13.5">
      <c r="A23" s="360"/>
      <c r="B23" s="271" t="s">
        <v>249</v>
      </c>
      <c r="C23" s="56"/>
      <c r="D23" s="57"/>
      <c r="E23" s="59"/>
      <c r="F23" s="97"/>
      <c r="G23" s="56"/>
      <c r="H23" s="56"/>
      <c r="I23" s="270">
        <f t="shared" si="1"/>
        <v>0</v>
      </c>
      <c r="J23" s="104"/>
      <c r="K23" s="104"/>
      <c r="L23" s="104"/>
      <c r="M23" s="104"/>
      <c r="N23" s="104"/>
      <c r="O23" s="104"/>
      <c r="P23" s="104"/>
      <c r="Q23" s="104"/>
      <c r="R23" s="104"/>
      <c r="S23" s="104"/>
      <c r="T23" s="104"/>
      <c r="U23" s="104"/>
      <c r="V23" s="104"/>
      <c r="W23" s="104"/>
      <c r="X23" s="104"/>
      <c r="Y23" s="104"/>
      <c r="Z23" s="104"/>
      <c r="AA23" s="104"/>
      <c r="AB23" s="104"/>
      <c r="AC23" s="104"/>
      <c r="AD23" s="104"/>
      <c r="AE23" s="100">
        <f t="shared" si="2"/>
        <v>0</v>
      </c>
      <c r="AF23" s="101">
        <f t="shared" si="3"/>
        <v>-8</v>
      </c>
      <c r="AG23" s="63">
        <f t="shared" si="4"/>
        <v>-160</v>
      </c>
      <c r="AH23" s="276">
        <f>IF(C23="Da",7,0)</f>
        <v>0</v>
      </c>
      <c r="AI23" s="102">
        <f t="shared" si="5"/>
        <v>0</v>
      </c>
      <c r="AJ23" s="103">
        <f t="shared" si="13"/>
        <v>6</v>
      </c>
      <c r="AK23" s="103">
        <f t="shared" si="7"/>
        <v>1</v>
      </c>
      <c r="AL23" s="103">
        <f t="shared" si="8"/>
        <v>0</v>
      </c>
      <c r="AM23" s="63">
        <v>10</v>
      </c>
      <c r="AN23" s="63">
        <f t="shared" si="9"/>
        <v>10</v>
      </c>
      <c r="AO23" s="106" t="str">
        <f t="shared" si="15"/>
        <v>Sc Furnizor Anatomie Patologica Srl</v>
      </c>
      <c r="AP23" s="106" t="str">
        <f t="shared" si="14"/>
        <v>Lxxx</v>
      </c>
      <c r="AQ23" s="106" t="str">
        <f t="shared" si="16"/>
        <v>2222222</v>
      </c>
    </row>
    <row r="24" spans="1:43" s="63" customFormat="1" ht="13.5">
      <c r="A24" s="360"/>
      <c r="B24" s="273" t="s">
        <v>250</v>
      </c>
      <c r="C24" s="56"/>
      <c r="D24" s="268"/>
      <c r="E24" s="107"/>
      <c r="F24" s="97"/>
      <c r="G24" s="56"/>
      <c r="H24" s="56"/>
      <c r="I24" s="270">
        <f t="shared" si="1"/>
        <v>0</v>
      </c>
      <c r="J24" s="99"/>
      <c r="K24" s="99"/>
      <c r="L24" s="99"/>
      <c r="M24" s="99"/>
      <c r="N24" s="99"/>
      <c r="O24" s="99"/>
      <c r="P24" s="99"/>
      <c r="Q24" s="99"/>
      <c r="R24" s="99"/>
      <c r="S24" s="99"/>
      <c r="T24" s="99"/>
      <c r="U24" s="99"/>
      <c r="V24" s="99"/>
      <c r="W24" s="99"/>
      <c r="X24" s="99"/>
      <c r="Y24" s="99"/>
      <c r="Z24" s="99"/>
      <c r="AA24" s="99"/>
      <c r="AB24" s="99"/>
      <c r="AC24" s="99"/>
      <c r="AD24" s="99"/>
      <c r="AE24" s="100">
        <f t="shared" si="2"/>
        <v>0</v>
      </c>
      <c r="AF24" s="101">
        <f t="shared" si="3"/>
        <v>-8</v>
      </c>
      <c r="AG24" s="63">
        <f t="shared" si="4"/>
        <v>-160</v>
      </c>
      <c r="AH24" s="276">
        <f>IF(C24="Da",5,0)</f>
        <v>0</v>
      </c>
      <c r="AI24" s="102">
        <f t="shared" si="5"/>
        <v>0</v>
      </c>
      <c r="AJ24" s="103">
        <f t="shared" si="13"/>
        <v>6</v>
      </c>
      <c r="AK24" s="103">
        <f t="shared" si="7"/>
        <v>1</v>
      </c>
      <c r="AL24" s="103">
        <f t="shared" si="8"/>
        <v>0</v>
      </c>
      <c r="AM24" s="63">
        <v>10</v>
      </c>
      <c r="AN24" s="63">
        <f t="shared" si="9"/>
        <v>10</v>
      </c>
      <c r="AO24" s="63" t="str">
        <f t="shared" si="15"/>
        <v>Sc Furnizor Anatomie Patologica Srl</v>
      </c>
      <c r="AP24" s="63" t="str">
        <f t="shared" si="14"/>
        <v>Lxxx</v>
      </c>
      <c r="AQ24" s="63" t="str">
        <f t="shared" si="16"/>
        <v>2222222</v>
      </c>
    </row>
    <row r="25" spans="1:43" s="63" customFormat="1" ht="13.5">
      <c r="A25" s="360"/>
      <c r="B25" s="273" t="s">
        <v>251</v>
      </c>
      <c r="C25" s="56"/>
      <c r="D25" s="268"/>
      <c r="E25" s="107"/>
      <c r="F25" s="97"/>
      <c r="G25" s="56"/>
      <c r="H25" s="56"/>
      <c r="I25" s="270">
        <f t="shared" si="1"/>
        <v>0</v>
      </c>
      <c r="J25" s="99"/>
      <c r="K25" s="99"/>
      <c r="L25" s="99"/>
      <c r="M25" s="99"/>
      <c r="N25" s="99"/>
      <c r="O25" s="99"/>
      <c r="P25" s="99"/>
      <c r="Q25" s="99"/>
      <c r="R25" s="99"/>
      <c r="S25" s="99"/>
      <c r="T25" s="99"/>
      <c r="U25" s="99"/>
      <c r="V25" s="99"/>
      <c r="W25" s="99"/>
      <c r="X25" s="99"/>
      <c r="Y25" s="99"/>
      <c r="Z25" s="99"/>
      <c r="AA25" s="99"/>
      <c r="AB25" s="99"/>
      <c r="AC25" s="99"/>
      <c r="AD25" s="99"/>
      <c r="AE25" s="100">
        <f t="shared" si="2"/>
        <v>0</v>
      </c>
      <c r="AF25" s="101">
        <f t="shared" si="3"/>
        <v>-8</v>
      </c>
      <c r="AG25" s="63">
        <f t="shared" si="4"/>
        <v>-160</v>
      </c>
      <c r="AH25" s="276">
        <f>IF(C25="Da",7,0)</f>
        <v>0</v>
      </c>
      <c r="AI25" s="102">
        <f t="shared" si="5"/>
        <v>0</v>
      </c>
      <c r="AJ25" s="103">
        <f t="shared" si="13"/>
        <v>6</v>
      </c>
      <c r="AK25" s="103">
        <f t="shared" si="7"/>
        <v>1</v>
      </c>
      <c r="AL25" s="103">
        <f t="shared" si="8"/>
        <v>0</v>
      </c>
      <c r="AM25" s="63">
        <v>10</v>
      </c>
      <c r="AN25" s="63">
        <f t="shared" si="9"/>
        <v>10</v>
      </c>
      <c r="AO25" s="63" t="str">
        <f t="shared" si="15"/>
        <v>Sc Furnizor Anatomie Patologica Srl</v>
      </c>
      <c r="AP25" s="63" t="str">
        <f t="shared" si="14"/>
        <v>Lxxx</v>
      </c>
      <c r="AQ25" s="63" t="str">
        <f t="shared" si="16"/>
        <v>2222222</v>
      </c>
    </row>
    <row r="26" spans="1:43" s="63" customFormat="1" ht="13.5">
      <c r="A26" s="360"/>
      <c r="B26" s="274" t="s">
        <v>252</v>
      </c>
      <c r="C26" s="56"/>
      <c r="D26" s="266"/>
      <c r="E26" s="58"/>
      <c r="F26" s="97"/>
      <c r="G26" s="56"/>
      <c r="H26" s="56"/>
      <c r="I26" s="270">
        <f t="shared" si="1"/>
        <v>0</v>
      </c>
      <c r="J26" s="99"/>
      <c r="K26" s="99"/>
      <c r="L26" s="99"/>
      <c r="M26" s="99"/>
      <c r="N26" s="99"/>
      <c r="O26" s="99"/>
      <c r="P26" s="99"/>
      <c r="Q26" s="99"/>
      <c r="R26" s="99"/>
      <c r="S26" s="99"/>
      <c r="T26" s="99"/>
      <c r="U26" s="99"/>
      <c r="V26" s="99"/>
      <c r="W26" s="99"/>
      <c r="X26" s="99"/>
      <c r="Y26" s="99"/>
      <c r="Z26" s="99"/>
      <c r="AA26" s="99"/>
      <c r="AB26" s="99"/>
      <c r="AC26" s="99"/>
      <c r="AD26" s="99"/>
      <c r="AE26" s="100">
        <f t="shared" si="2"/>
        <v>0</v>
      </c>
      <c r="AF26" s="101">
        <f t="shared" si="3"/>
        <v>-8</v>
      </c>
      <c r="AG26" s="63">
        <f t="shared" si="4"/>
        <v>-160</v>
      </c>
      <c r="AH26" s="276">
        <f aca="true" t="shared" si="17" ref="AH26:AH32">IF(C26="Da",1,0)</f>
        <v>0</v>
      </c>
      <c r="AI26" s="102">
        <f t="shared" si="5"/>
        <v>0</v>
      </c>
      <c r="AJ26" s="103">
        <f t="shared" si="13"/>
        <v>6</v>
      </c>
      <c r="AK26" s="103">
        <f t="shared" si="7"/>
        <v>1</v>
      </c>
      <c r="AL26" s="103">
        <f t="shared" si="8"/>
        <v>0</v>
      </c>
      <c r="AM26" s="63">
        <v>10</v>
      </c>
      <c r="AN26" s="63">
        <f t="shared" si="9"/>
        <v>10</v>
      </c>
      <c r="AO26" s="63" t="str">
        <f t="shared" si="15"/>
        <v>Sc Furnizor Anatomie Patologica Srl</v>
      </c>
      <c r="AP26" s="63" t="str">
        <f t="shared" si="14"/>
        <v>Lxxx</v>
      </c>
      <c r="AQ26" s="63" t="str">
        <f t="shared" si="16"/>
        <v>2222222</v>
      </c>
    </row>
    <row r="27" spans="1:43" s="106" customFormat="1" ht="13.5">
      <c r="A27" s="360"/>
      <c r="B27" s="275" t="s">
        <v>253</v>
      </c>
      <c r="C27" s="56"/>
      <c r="D27" s="96"/>
      <c r="E27" s="97"/>
      <c r="F27" s="97"/>
      <c r="G27" s="56"/>
      <c r="H27" s="56"/>
      <c r="I27" s="270">
        <f t="shared" si="1"/>
        <v>0</v>
      </c>
      <c r="J27" s="99"/>
      <c r="K27" s="99"/>
      <c r="L27" s="99"/>
      <c r="M27" s="99"/>
      <c r="N27" s="99"/>
      <c r="O27" s="99"/>
      <c r="P27" s="99"/>
      <c r="Q27" s="99"/>
      <c r="R27" s="99"/>
      <c r="S27" s="99"/>
      <c r="T27" s="99"/>
      <c r="U27" s="99"/>
      <c r="V27" s="99"/>
      <c r="W27" s="99"/>
      <c r="X27" s="99"/>
      <c r="Y27" s="99"/>
      <c r="Z27" s="99"/>
      <c r="AA27" s="99"/>
      <c r="AB27" s="99"/>
      <c r="AC27" s="99"/>
      <c r="AD27" s="99"/>
      <c r="AE27" s="100">
        <f t="shared" si="2"/>
        <v>0</v>
      </c>
      <c r="AF27" s="101">
        <f t="shared" si="3"/>
        <v>-8</v>
      </c>
      <c r="AG27" s="63">
        <f t="shared" si="4"/>
        <v>-160</v>
      </c>
      <c r="AH27" s="276">
        <f t="shared" si="17"/>
        <v>0</v>
      </c>
      <c r="AI27" s="102">
        <f t="shared" si="5"/>
        <v>0</v>
      </c>
      <c r="AJ27" s="103">
        <f t="shared" si="13"/>
        <v>6</v>
      </c>
      <c r="AK27" s="103">
        <f t="shared" si="7"/>
        <v>1</v>
      </c>
      <c r="AL27" s="103">
        <f t="shared" si="8"/>
        <v>0</v>
      </c>
      <c r="AM27" s="63">
        <v>10</v>
      </c>
      <c r="AN27" s="63">
        <f t="shared" si="9"/>
        <v>10</v>
      </c>
      <c r="AO27" s="63" t="str">
        <f t="shared" si="15"/>
        <v>Sc Furnizor Anatomie Patologica Srl</v>
      </c>
      <c r="AP27" s="63" t="str">
        <f t="shared" si="14"/>
        <v>Lxxx</v>
      </c>
      <c r="AQ27" s="63" t="str">
        <f t="shared" si="16"/>
        <v>2222222</v>
      </c>
    </row>
    <row r="28" spans="1:43" s="106" customFormat="1" ht="13.5">
      <c r="A28" s="360"/>
      <c r="B28" s="275" t="s">
        <v>254</v>
      </c>
      <c r="C28" s="56"/>
      <c r="D28" s="56"/>
      <c r="E28" s="159"/>
      <c r="F28" s="97"/>
      <c r="G28" s="56"/>
      <c r="H28" s="56"/>
      <c r="I28" s="270">
        <f t="shared" si="1"/>
        <v>0</v>
      </c>
      <c r="J28" s="99"/>
      <c r="K28" s="99"/>
      <c r="L28" s="99"/>
      <c r="M28" s="99"/>
      <c r="N28" s="99"/>
      <c r="O28" s="99"/>
      <c r="P28" s="99"/>
      <c r="Q28" s="99"/>
      <c r="R28" s="99"/>
      <c r="S28" s="99"/>
      <c r="T28" s="99"/>
      <c r="U28" s="99"/>
      <c r="V28" s="99"/>
      <c r="W28" s="99"/>
      <c r="X28" s="99"/>
      <c r="Y28" s="99"/>
      <c r="Z28" s="99"/>
      <c r="AA28" s="99"/>
      <c r="AB28" s="99"/>
      <c r="AC28" s="99"/>
      <c r="AD28" s="99"/>
      <c r="AE28" s="100">
        <f t="shared" si="2"/>
        <v>0</v>
      </c>
      <c r="AF28" s="101">
        <f t="shared" si="3"/>
        <v>-8</v>
      </c>
      <c r="AG28" s="63">
        <f t="shared" si="4"/>
        <v>-160</v>
      </c>
      <c r="AH28" s="276">
        <f t="shared" si="17"/>
        <v>0</v>
      </c>
      <c r="AI28" s="102">
        <f t="shared" si="5"/>
        <v>0</v>
      </c>
      <c r="AJ28" s="103">
        <f t="shared" si="13"/>
        <v>6</v>
      </c>
      <c r="AK28" s="103">
        <f t="shared" si="7"/>
        <v>1</v>
      </c>
      <c r="AL28" s="103">
        <f t="shared" si="8"/>
        <v>0</v>
      </c>
      <c r="AM28" s="63">
        <v>10</v>
      </c>
      <c r="AN28" s="63">
        <f t="shared" si="9"/>
        <v>10</v>
      </c>
      <c r="AO28" s="63" t="str">
        <f t="shared" si="15"/>
        <v>Sc Furnizor Anatomie Patologica Srl</v>
      </c>
      <c r="AP28" s="63" t="str">
        <f t="shared" si="14"/>
        <v>Lxxx</v>
      </c>
      <c r="AQ28" s="63" t="str">
        <f t="shared" si="16"/>
        <v>2222222</v>
      </c>
    </row>
    <row r="29" spans="1:43" s="106" customFormat="1" ht="13.5">
      <c r="A29" s="360"/>
      <c r="B29" s="275" t="s">
        <v>255</v>
      </c>
      <c r="C29" s="56"/>
      <c r="D29" s="108"/>
      <c r="E29" s="109"/>
      <c r="F29" s="97"/>
      <c r="G29" s="56"/>
      <c r="H29" s="56"/>
      <c r="I29" s="270">
        <f t="shared" si="1"/>
        <v>0</v>
      </c>
      <c r="J29" s="99"/>
      <c r="K29" s="99"/>
      <c r="L29" s="99"/>
      <c r="M29" s="99"/>
      <c r="N29" s="99"/>
      <c r="O29" s="99"/>
      <c r="P29" s="99"/>
      <c r="Q29" s="99"/>
      <c r="R29" s="99"/>
      <c r="S29" s="99"/>
      <c r="T29" s="99"/>
      <c r="U29" s="99"/>
      <c r="V29" s="99"/>
      <c r="W29" s="99"/>
      <c r="X29" s="99"/>
      <c r="Y29" s="99"/>
      <c r="Z29" s="99"/>
      <c r="AA29" s="99"/>
      <c r="AB29" s="99"/>
      <c r="AC29" s="99"/>
      <c r="AD29" s="99"/>
      <c r="AE29" s="100">
        <f t="shared" si="2"/>
        <v>0</v>
      </c>
      <c r="AF29" s="101">
        <f t="shared" si="3"/>
        <v>-8</v>
      </c>
      <c r="AG29" s="63">
        <f t="shared" si="4"/>
        <v>-160</v>
      </c>
      <c r="AH29" s="276">
        <f t="shared" si="17"/>
        <v>0</v>
      </c>
      <c r="AI29" s="102">
        <f t="shared" si="5"/>
        <v>0</v>
      </c>
      <c r="AJ29" s="103">
        <f t="shared" si="13"/>
        <v>6</v>
      </c>
      <c r="AK29" s="103">
        <f t="shared" si="7"/>
        <v>1</v>
      </c>
      <c r="AL29" s="103">
        <f t="shared" si="8"/>
        <v>0</v>
      </c>
      <c r="AM29" s="63">
        <v>10</v>
      </c>
      <c r="AN29" s="63">
        <f t="shared" si="9"/>
        <v>10</v>
      </c>
      <c r="AO29" s="63" t="str">
        <f t="shared" si="15"/>
        <v>Sc Furnizor Anatomie Patologica Srl</v>
      </c>
      <c r="AP29" s="63" t="str">
        <f t="shared" si="14"/>
        <v>Lxxx</v>
      </c>
      <c r="AQ29" s="63" t="str">
        <f t="shared" si="16"/>
        <v>2222222</v>
      </c>
    </row>
    <row r="30" spans="1:43" s="106" customFormat="1" ht="13.5">
      <c r="A30" s="360"/>
      <c r="B30" s="275" t="s">
        <v>256</v>
      </c>
      <c r="C30" s="56"/>
      <c r="D30" s="108"/>
      <c r="E30" s="109"/>
      <c r="F30" s="97"/>
      <c r="G30" s="56"/>
      <c r="H30" s="56"/>
      <c r="I30" s="270">
        <f t="shared" si="1"/>
        <v>0</v>
      </c>
      <c r="J30" s="99"/>
      <c r="K30" s="99"/>
      <c r="L30" s="99"/>
      <c r="M30" s="99"/>
      <c r="N30" s="99"/>
      <c r="O30" s="99"/>
      <c r="P30" s="99"/>
      <c r="Q30" s="99"/>
      <c r="R30" s="99"/>
      <c r="S30" s="99"/>
      <c r="T30" s="99"/>
      <c r="U30" s="99"/>
      <c r="V30" s="99"/>
      <c r="W30" s="99"/>
      <c r="X30" s="99"/>
      <c r="Y30" s="99"/>
      <c r="Z30" s="99"/>
      <c r="AA30" s="99"/>
      <c r="AB30" s="99"/>
      <c r="AC30" s="99"/>
      <c r="AD30" s="99"/>
      <c r="AE30" s="100">
        <f t="shared" si="2"/>
        <v>0</v>
      </c>
      <c r="AF30" s="101">
        <f t="shared" si="3"/>
        <v>-8</v>
      </c>
      <c r="AG30" s="63">
        <f t="shared" si="4"/>
        <v>-160</v>
      </c>
      <c r="AH30" s="276">
        <f t="shared" si="17"/>
        <v>0</v>
      </c>
      <c r="AI30" s="102">
        <f t="shared" si="5"/>
        <v>0</v>
      </c>
      <c r="AJ30" s="103">
        <f t="shared" si="13"/>
        <v>6</v>
      </c>
      <c r="AK30" s="103">
        <f t="shared" si="7"/>
        <v>1</v>
      </c>
      <c r="AL30" s="103">
        <f t="shared" si="8"/>
        <v>0</v>
      </c>
      <c r="AM30" s="63">
        <v>10</v>
      </c>
      <c r="AN30" s="63">
        <f t="shared" si="9"/>
        <v>10</v>
      </c>
      <c r="AO30" s="63" t="str">
        <f t="shared" si="15"/>
        <v>Sc Furnizor Anatomie Patologica Srl</v>
      </c>
      <c r="AP30" s="63" t="str">
        <f t="shared" si="14"/>
        <v>Lxxx</v>
      </c>
      <c r="AQ30" s="63" t="str">
        <f t="shared" si="16"/>
        <v>2222222</v>
      </c>
    </row>
    <row r="31" spans="1:43" s="63" customFormat="1" ht="13.5">
      <c r="A31" s="360"/>
      <c r="B31" s="272" t="s">
        <v>257</v>
      </c>
      <c r="C31" s="56"/>
      <c r="D31" s="105"/>
      <c r="E31" s="97"/>
      <c r="F31" s="97"/>
      <c r="G31" s="56"/>
      <c r="H31" s="56"/>
      <c r="I31" s="270">
        <f t="shared" si="1"/>
        <v>0</v>
      </c>
      <c r="J31" s="99"/>
      <c r="K31" s="99"/>
      <c r="L31" s="99"/>
      <c r="M31" s="99"/>
      <c r="N31" s="99"/>
      <c r="O31" s="99"/>
      <c r="P31" s="99"/>
      <c r="Q31" s="99"/>
      <c r="R31" s="99"/>
      <c r="S31" s="99"/>
      <c r="T31" s="99"/>
      <c r="U31" s="99"/>
      <c r="V31" s="99"/>
      <c r="W31" s="99"/>
      <c r="X31" s="99"/>
      <c r="Y31" s="99"/>
      <c r="Z31" s="99"/>
      <c r="AA31" s="99"/>
      <c r="AB31" s="99"/>
      <c r="AC31" s="99"/>
      <c r="AD31" s="99"/>
      <c r="AE31" s="100">
        <f t="shared" si="2"/>
        <v>0</v>
      </c>
      <c r="AF31" s="101">
        <f t="shared" si="3"/>
        <v>-8</v>
      </c>
      <c r="AG31" s="63">
        <f t="shared" si="4"/>
        <v>-160</v>
      </c>
      <c r="AH31" s="276">
        <f t="shared" si="17"/>
        <v>0</v>
      </c>
      <c r="AI31" s="102">
        <f t="shared" si="5"/>
        <v>0</v>
      </c>
      <c r="AJ31" s="103">
        <f t="shared" si="13"/>
        <v>6</v>
      </c>
      <c r="AK31" s="103">
        <f t="shared" si="7"/>
        <v>1</v>
      </c>
      <c r="AL31" s="103">
        <f t="shared" si="8"/>
        <v>0</v>
      </c>
      <c r="AM31" s="63">
        <v>10</v>
      </c>
      <c r="AN31" s="63">
        <f t="shared" si="9"/>
        <v>10</v>
      </c>
      <c r="AO31" s="63" t="str">
        <f t="shared" si="15"/>
        <v>Sc Furnizor Anatomie Patologica Srl</v>
      </c>
      <c r="AP31" s="63" t="str">
        <f t="shared" si="14"/>
        <v>Lxxx</v>
      </c>
      <c r="AQ31" s="63" t="str">
        <f t="shared" si="16"/>
        <v>2222222</v>
      </c>
    </row>
    <row r="32" spans="1:43" s="63" customFormat="1" ht="13.5">
      <c r="A32" s="361"/>
      <c r="B32" s="272" t="s">
        <v>258</v>
      </c>
      <c r="C32" s="56"/>
      <c r="D32" s="268"/>
      <c r="E32" s="107"/>
      <c r="F32" s="97"/>
      <c r="G32" s="56"/>
      <c r="H32" s="56"/>
      <c r="I32" s="270">
        <f t="shared" si="1"/>
        <v>0</v>
      </c>
      <c r="J32" s="99"/>
      <c r="K32" s="99"/>
      <c r="L32" s="99"/>
      <c r="M32" s="99"/>
      <c r="N32" s="99"/>
      <c r="O32" s="99"/>
      <c r="P32" s="99"/>
      <c r="Q32" s="99"/>
      <c r="R32" s="99"/>
      <c r="S32" s="99"/>
      <c r="T32" s="99"/>
      <c r="U32" s="99"/>
      <c r="V32" s="99"/>
      <c r="W32" s="99"/>
      <c r="X32" s="99"/>
      <c r="Y32" s="99"/>
      <c r="Z32" s="99"/>
      <c r="AA32" s="99"/>
      <c r="AB32" s="99"/>
      <c r="AC32" s="99"/>
      <c r="AD32" s="99"/>
      <c r="AE32" s="100">
        <f t="shared" si="2"/>
        <v>0</v>
      </c>
      <c r="AF32" s="101">
        <f t="shared" si="3"/>
        <v>-8</v>
      </c>
      <c r="AG32" s="63">
        <f t="shared" si="4"/>
        <v>-160</v>
      </c>
      <c r="AH32" s="276">
        <f t="shared" si="17"/>
        <v>0</v>
      </c>
      <c r="AI32" s="102">
        <f t="shared" si="5"/>
        <v>0</v>
      </c>
      <c r="AJ32" s="103">
        <f t="shared" si="13"/>
        <v>6</v>
      </c>
      <c r="AK32" s="103">
        <f t="shared" si="7"/>
        <v>1</v>
      </c>
      <c r="AL32" s="103">
        <f t="shared" si="8"/>
        <v>0</v>
      </c>
      <c r="AM32" s="63">
        <v>10</v>
      </c>
      <c r="AN32" s="63">
        <f t="shared" si="9"/>
        <v>10</v>
      </c>
      <c r="AO32" s="63" t="str">
        <f t="shared" si="15"/>
        <v>Sc Furnizor Anatomie Patologica Srl</v>
      </c>
      <c r="AP32" s="63" t="str">
        <f t="shared" si="14"/>
        <v>Lxxx</v>
      </c>
      <c r="AQ32" s="63" t="str">
        <f t="shared" si="16"/>
        <v>2222222</v>
      </c>
    </row>
    <row r="33" spans="1:32" s="63" customFormat="1" ht="13.5">
      <c r="A33" s="348" t="s">
        <v>270</v>
      </c>
      <c r="B33" s="348"/>
      <c r="C33" s="348"/>
      <c r="D33" s="157">
        <f>COUNTA(D18:D32)</f>
        <v>3</v>
      </c>
      <c r="E33" s="362" t="s">
        <v>267</v>
      </c>
      <c r="F33" s="362"/>
      <c r="G33" s="362"/>
      <c r="H33" s="362"/>
      <c r="I33" s="158">
        <f>SUM(I18:I32)</f>
        <v>15</v>
      </c>
      <c r="J33" s="104"/>
      <c r="K33" s="104"/>
      <c r="L33" s="104"/>
      <c r="M33" s="104"/>
      <c r="N33" s="104"/>
      <c r="O33" s="104"/>
      <c r="P33" s="104"/>
      <c r="Q33" s="104"/>
      <c r="R33" s="104"/>
      <c r="S33" s="104"/>
      <c r="T33" s="104"/>
      <c r="U33" s="104"/>
      <c r="V33" s="104"/>
      <c r="W33" s="104"/>
      <c r="X33" s="104"/>
      <c r="Y33" s="104"/>
      <c r="Z33" s="104"/>
      <c r="AA33" s="104"/>
      <c r="AB33" s="104"/>
      <c r="AC33" s="104"/>
      <c r="AD33" s="104"/>
      <c r="AE33" s="100"/>
      <c r="AF33" s="101"/>
    </row>
    <row r="34" spans="1:30" s="63" customFormat="1" ht="13.5">
      <c r="A34" s="288"/>
      <c r="B34" s="288"/>
      <c r="C34" s="289" t="s">
        <v>269</v>
      </c>
      <c r="D34" s="290">
        <f>D16+D33</f>
        <v>5</v>
      </c>
      <c r="E34" s="288"/>
      <c r="F34" s="288"/>
      <c r="G34" s="288"/>
      <c r="H34" s="291" t="s">
        <v>67</v>
      </c>
      <c r="I34" s="292">
        <f>I16+I33</f>
        <v>25</v>
      </c>
      <c r="J34" s="110"/>
      <c r="K34" s="110"/>
      <c r="L34" s="110"/>
      <c r="M34" s="110"/>
      <c r="N34" s="110"/>
      <c r="O34" s="110"/>
      <c r="P34" s="110"/>
      <c r="Q34" s="110"/>
      <c r="R34" s="110"/>
      <c r="S34" s="110"/>
      <c r="T34" s="110"/>
      <c r="U34" s="110"/>
      <c r="V34" s="110"/>
      <c r="W34" s="110"/>
      <c r="X34" s="110"/>
      <c r="Y34" s="110"/>
      <c r="Z34" s="110"/>
      <c r="AA34" s="110"/>
      <c r="AB34" s="110"/>
      <c r="AC34" s="110"/>
      <c r="AD34" s="110"/>
    </row>
    <row r="35" spans="1:38" s="53" customFormat="1" ht="12.75">
      <c r="A35" s="293" t="s">
        <v>274</v>
      </c>
      <c r="B35" s="293"/>
      <c r="C35" s="293"/>
      <c r="D35" s="294"/>
      <c r="E35" s="293"/>
      <c r="F35" s="293"/>
      <c r="G35" s="293"/>
      <c r="H35" s="293"/>
      <c r="I35" s="295"/>
      <c r="J35" s="54"/>
      <c r="K35" s="54"/>
      <c r="L35" s="54"/>
      <c r="M35" s="54"/>
      <c r="N35" s="54"/>
      <c r="O35" s="54"/>
      <c r="P35" s="54"/>
      <c r="Q35" s="54"/>
      <c r="R35" s="54"/>
      <c r="S35" s="54"/>
      <c r="T35" s="54"/>
      <c r="U35" s="54"/>
      <c r="V35" s="54"/>
      <c r="W35" s="54"/>
      <c r="X35" s="54"/>
      <c r="Y35" s="54"/>
      <c r="Z35" s="54"/>
      <c r="AA35" s="54"/>
      <c r="AB35" s="54"/>
      <c r="AC35" s="54"/>
      <c r="AD35" s="54"/>
      <c r="AE35" s="54"/>
      <c r="AH35" s="54"/>
      <c r="AI35" s="54"/>
      <c r="AJ35" s="54"/>
      <c r="AK35" s="54"/>
      <c r="AL35" s="54"/>
    </row>
    <row r="36" spans="1:9" ht="10.5" customHeight="1">
      <c r="A36" s="278"/>
      <c r="B36" s="278"/>
      <c r="C36" s="278"/>
      <c r="D36" s="296"/>
      <c r="E36" s="296"/>
      <c r="F36" s="297"/>
      <c r="G36" s="297"/>
      <c r="H36" s="297"/>
      <c r="I36" s="278"/>
    </row>
    <row r="37" spans="1:9" ht="13.5">
      <c r="A37" s="298"/>
      <c r="B37" s="298"/>
      <c r="C37" s="298"/>
      <c r="D37" s="156" t="s">
        <v>87</v>
      </c>
      <c r="E37" s="296"/>
      <c r="F37" s="299"/>
      <c r="G37" s="299"/>
      <c r="H37" s="299"/>
      <c r="I37" s="278"/>
    </row>
    <row r="38" spans="1:9" ht="13.5">
      <c r="A38" s="298"/>
      <c r="B38" s="298"/>
      <c r="C38" s="298"/>
      <c r="D38" s="300" t="s">
        <v>236</v>
      </c>
      <c r="E38" s="296"/>
      <c r="F38" s="299"/>
      <c r="G38" s="299"/>
      <c r="H38" s="299"/>
      <c r="I38" s="278"/>
    </row>
    <row r="39" spans="1:9" ht="13.5">
      <c r="A39" s="297"/>
      <c r="B39" s="297"/>
      <c r="C39" s="297"/>
      <c r="D39" s="301" t="str">
        <f>PROPER(Furnizor!AO22)</f>
        <v>Nume Repl Legal Prenume Repl</v>
      </c>
      <c r="E39" s="296"/>
      <c r="F39" s="299"/>
      <c r="G39" s="299"/>
      <c r="H39" s="299"/>
      <c r="I39" s="278"/>
    </row>
    <row r="40" spans="1:9" ht="13.5">
      <c r="A40" s="298"/>
      <c r="B40" s="298"/>
      <c r="C40" s="298"/>
      <c r="D40" s="300" t="s">
        <v>237</v>
      </c>
      <c r="E40" s="296"/>
      <c r="F40" s="299"/>
      <c r="G40" s="299"/>
      <c r="H40" s="299"/>
      <c r="I40" s="278"/>
    </row>
    <row r="41" spans="1:9" ht="13.5">
      <c r="A41" s="297"/>
      <c r="B41" s="297"/>
      <c r="C41" s="297"/>
      <c r="D41" s="296"/>
      <c r="E41" s="296"/>
      <c r="F41" s="299"/>
      <c r="G41" s="299"/>
      <c r="H41" s="299"/>
      <c r="I41" s="278"/>
    </row>
    <row r="42" spans="1:9" ht="13.5">
      <c r="A42" s="286"/>
      <c r="B42" s="286"/>
      <c r="C42" s="286"/>
      <c r="D42" s="302"/>
      <c r="E42" s="302"/>
      <c r="F42" s="302"/>
      <c r="G42" s="302"/>
      <c r="H42" s="302"/>
      <c r="I42" s="278"/>
    </row>
    <row r="44" spans="1:8" ht="13.5">
      <c r="A44" s="52"/>
      <c r="B44" s="52"/>
      <c r="C44" s="52"/>
      <c r="D44" s="51"/>
      <c r="E44" s="51"/>
      <c r="F44" s="51"/>
      <c r="G44" s="51"/>
      <c r="H44" s="51"/>
    </row>
    <row r="45" spans="4:8" ht="13.5">
      <c r="D45" s="51"/>
      <c r="E45" s="51"/>
      <c r="F45" s="51"/>
      <c r="G45" s="51"/>
      <c r="H45" s="51"/>
    </row>
    <row r="46" spans="1:8" ht="13.5">
      <c r="A46" s="52"/>
      <c r="B46" s="52"/>
      <c r="C46" s="52"/>
      <c r="D46" s="51"/>
      <c r="E46" s="51"/>
      <c r="F46" s="51"/>
      <c r="G46" s="51"/>
      <c r="H46" s="51"/>
    </row>
    <row r="47" spans="4:8" ht="13.5">
      <c r="D47" s="51"/>
      <c r="E47" s="51"/>
      <c r="F47" s="51"/>
      <c r="G47" s="51"/>
      <c r="H47" s="51"/>
    </row>
    <row r="48" spans="1:8" ht="13.5">
      <c r="A48" s="52"/>
      <c r="B48" s="52"/>
      <c r="C48" s="52"/>
      <c r="D48" s="51"/>
      <c r="E48" s="51"/>
      <c r="F48" s="51"/>
      <c r="G48" s="51"/>
      <c r="H48" s="51"/>
    </row>
    <row r="49" spans="4:8" ht="13.5">
      <c r="D49" s="51"/>
      <c r="E49" s="51"/>
      <c r="F49" s="51"/>
      <c r="G49" s="51"/>
      <c r="H49" s="51"/>
    </row>
  </sheetData>
  <sheetProtection password="DA1A" sheet="1" objects="1" scenarios="1" insertColumns="0" insertRows="0" deleteColumns="0" deleteRows="0"/>
  <mergeCells count="18">
    <mergeCell ref="C2:E2"/>
    <mergeCell ref="A2:B2"/>
    <mergeCell ref="B9:B15"/>
    <mergeCell ref="A17:A32"/>
    <mergeCell ref="A33:C33"/>
    <mergeCell ref="C7:C8"/>
    <mergeCell ref="B7:B8"/>
    <mergeCell ref="A7:A15"/>
    <mergeCell ref="E16:H16"/>
    <mergeCell ref="E33:H33"/>
    <mergeCell ref="A16:C16"/>
    <mergeCell ref="AE7:AE8"/>
    <mergeCell ref="F7:F8"/>
    <mergeCell ref="G7:G8"/>
    <mergeCell ref="D7:D8"/>
    <mergeCell ref="E7:E8"/>
    <mergeCell ref="H7:H8"/>
    <mergeCell ref="I7:I8"/>
  </mergeCells>
  <conditionalFormatting sqref="G9:G15">
    <cfRule type="containsText" priority="1" dxfId="0" operator="containsText" stopIfTrue="1" text="Nu">
      <formula>NOT(ISERROR(SEARCH("Nu",G9)))</formula>
    </cfRule>
  </conditionalFormatting>
  <dataValidations count="2">
    <dataValidation type="list" allowBlank="1" showInputMessage="1" showErrorMessage="1" sqref="C18:C32 C9:C15 G18:H32 G9:H15">
      <formula1>"Nu,Da"</formula1>
    </dataValidation>
    <dataValidation errorStyle="warning" type="whole" allowBlank="1" showInputMessage="1" showErrorMessage="1" errorTitle="An fabricatie" error="Aparat mai vechi de 12 ani sau mai mare ca anul curent" sqref="F9:F15 F18:F32">
      <formula1>YEAR(TODAY())-12</formula1>
      <formula2>YEAR(TODAY())</formula2>
    </dataValidation>
  </dataValidations>
  <printOptions horizontalCentered="1"/>
  <pageMargins left="0.1968503937007874" right="0.1968503937007874" top="0.5511811023622047" bottom="0.1968503937007874" header="0.31496062992125984" footer="0.31496062992125984"/>
  <pageSetup horizontalDpi="600" verticalDpi="600" orientation="landscape" paperSize="9" scale="90" r:id="rId3"/>
  <ignoredErrors>
    <ignoredError sqref="AH21 AH23" formula="1"/>
  </ignoredErrors>
  <legacy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2:F17"/>
  <sheetViews>
    <sheetView zoomScalePageLayoutView="0" workbookViewId="0" topLeftCell="A10">
      <selection activeCell="D10" sqref="D10"/>
    </sheetView>
  </sheetViews>
  <sheetFormatPr defaultColWidth="9.140625" defaultRowHeight="12.75"/>
  <cols>
    <col min="1" max="1" width="15.140625" style="129" customWidth="1"/>
    <col min="2" max="2" width="54.8515625" style="129" customWidth="1"/>
    <col min="3" max="3" width="16.28125" style="129" customWidth="1"/>
    <col min="4" max="4" width="17.421875" style="129" customWidth="1"/>
    <col min="5" max="5" width="9.28125" style="129" customWidth="1"/>
    <col min="6" max="6" width="9.140625" style="129" customWidth="1"/>
    <col min="7" max="16384" width="9.140625" style="129" customWidth="1"/>
  </cols>
  <sheetData>
    <row r="2" spans="1:4" s="139" customFormat="1" ht="41.25">
      <c r="A2" s="244" t="s">
        <v>50</v>
      </c>
      <c r="B2" s="182" t="str">
        <f>PROPER(Furnizor!B2)</f>
        <v>Sc Furnizor Anatomie Patologica Srl</v>
      </c>
      <c r="D2" s="228"/>
    </row>
    <row r="3" spans="1:4" s="139" customFormat="1" ht="16.5" customHeight="1">
      <c r="A3" s="269" t="s">
        <v>51</v>
      </c>
      <c r="B3" s="182" t="str">
        <f>PROPER(Furnizor!AO29)</f>
        <v>Loc.Constanta Str.Nume Strada Punct De Lucru Nr.1 </v>
      </c>
      <c r="D3" s="331"/>
    </row>
    <row r="4" spans="1:4" s="139" customFormat="1" ht="18" customHeight="1">
      <c r="A4" s="269" t="s">
        <v>52</v>
      </c>
      <c r="B4" s="332" t="str">
        <f>PROPER(Furnizor!C4)</f>
        <v>Lxxx</v>
      </c>
      <c r="D4" s="331"/>
    </row>
    <row r="5" spans="1:4" s="139" customFormat="1" ht="17.25" customHeight="1">
      <c r="A5" s="333" t="s">
        <v>86</v>
      </c>
      <c r="B5" s="182" t="str">
        <f>PROPER(Furnizor!C5)</f>
        <v>2222222</v>
      </c>
      <c r="D5" s="327" t="s">
        <v>296</v>
      </c>
    </row>
    <row r="6" spans="2:4" ht="15" thickBot="1">
      <c r="B6" s="365" t="s">
        <v>217</v>
      </c>
      <c r="C6" s="365"/>
      <c r="D6" s="322">
        <f ca="1">TODAY()</f>
        <v>44381</v>
      </c>
    </row>
    <row r="7" spans="1:5" s="142" customFormat="1" ht="27">
      <c r="A7" s="232" t="s">
        <v>53</v>
      </c>
      <c r="B7" s="363" t="s">
        <v>200</v>
      </c>
      <c r="C7" s="363"/>
      <c r="D7" s="226" t="s">
        <v>216</v>
      </c>
      <c r="E7" s="227" t="s">
        <v>215</v>
      </c>
    </row>
    <row r="8" spans="1:5" ht="26.25" customHeight="1">
      <c r="A8" s="367" t="s">
        <v>201</v>
      </c>
      <c r="B8" s="366" t="s">
        <v>202</v>
      </c>
      <c r="C8" s="234" t="s">
        <v>203</v>
      </c>
      <c r="D8" s="248" t="s">
        <v>58</v>
      </c>
      <c r="E8" s="242">
        <f>IF(D8="Da",3,0)</f>
        <v>3</v>
      </c>
    </row>
    <row r="9" spans="1:5" ht="69">
      <c r="A9" s="367"/>
      <c r="B9" s="366"/>
      <c r="C9" s="235" t="s">
        <v>204</v>
      </c>
      <c r="D9" s="248" t="s">
        <v>59</v>
      </c>
      <c r="E9" s="242">
        <f>IF(D9="Da",4,0)</f>
        <v>0</v>
      </c>
    </row>
    <row r="10" spans="1:5" ht="112.5" customHeight="1">
      <c r="A10" s="236">
        <v>2</v>
      </c>
      <c r="B10" s="237" t="s">
        <v>212</v>
      </c>
      <c r="C10" s="238" t="s">
        <v>205</v>
      </c>
      <c r="D10" s="248" t="s">
        <v>59</v>
      </c>
      <c r="E10" s="242">
        <f>IF(D10="Da",10,0)</f>
        <v>0</v>
      </c>
    </row>
    <row r="11" spans="1:5" ht="42" customHeight="1">
      <c r="A11" s="239" t="s">
        <v>206</v>
      </c>
      <c r="B11" s="240" t="s">
        <v>211</v>
      </c>
      <c r="C11" s="240" t="s">
        <v>210</v>
      </c>
      <c r="D11" s="248" t="s">
        <v>58</v>
      </c>
      <c r="E11" s="242">
        <f>IF(D11="Da",2,0)</f>
        <v>2</v>
      </c>
    </row>
    <row r="12" spans="1:5" ht="27.75" customHeight="1" thickBot="1">
      <c r="A12" s="241" t="s">
        <v>207</v>
      </c>
      <c r="B12" s="368" t="s">
        <v>208</v>
      </c>
      <c r="C12" s="369"/>
      <c r="D12" s="248" t="s">
        <v>59</v>
      </c>
      <c r="E12" s="242">
        <f>IF(D12="Da",5,0)</f>
        <v>0</v>
      </c>
    </row>
    <row r="13" spans="1:6" s="142" customFormat="1" ht="37.5" customHeight="1">
      <c r="A13" s="364" t="s">
        <v>214</v>
      </c>
      <c r="B13" s="364"/>
      <c r="C13" s="364"/>
      <c r="D13" s="224" t="s">
        <v>213</v>
      </c>
      <c r="E13" s="243">
        <f>SUM(E8:E12)</f>
        <v>5</v>
      </c>
      <c r="F13" s="224"/>
    </row>
    <row r="14" spans="1:6" ht="13.5">
      <c r="A14" s="231" t="s">
        <v>209</v>
      </c>
      <c r="B14" s="225"/>
      <c r="C14" s="225"/>
      <c r="D14" s="225"/>
      <c r="E14" s="139"/>
      <c r="F14" s="142"/>
    </row>
    <row r="15" spans="2:6" ht="13.5">
      <c r="B15" s="231"/>
      <c r="C15" s="246"/>
      <c r="D15" s="246" t="s">
        <v>87</v>
      </c>
      <c r="E15" s="142"/>
      <c r="F15" s="142"/>
    </row>
    <row r="16" spans="1:6" ht="13.5">
      <c r="A16" s="222"/>
      <c r="B16" s="224"/>
      <c r="C16" s="224"/>
      <c r="D16" s="230" t="str">
        <f>PROPER(Furnizor!AO22)</f>
        <v>Nume Repl Legal Prenume Repl</v>
      </c>
      <c r="E16" s="142"/>
      <c r="F16" s="142"/>
    </row>
    <row r="17" ht="13.5">
      <c r="D17" s="129" t="s">
        <v>237</v>
      </c>
    </row>
  </sheetData>
  <sheetProtection password="DA1A" sheet="1" objects="1" scenarios="1" insertColumns="0" insertRows="0" deleteColumns="0" deleteRows="0"/>
  <mergeCells count="6">
    <mergeCell ref="B7:C7"/>
    <mergeCell ref="A13:C13"/>
    <mergeCell ref="B6:C6"/>
    <mergeCell ref="B8:B9"/>
    <mergeCell ref="A8:A9"/>
    <mergeCell ref="B12:C12"/>
  </mergeCells>
  <dataValidations count="1">
    <dataValidation type="list" allowBlank="1" showInputMessage="1" showErrorMessage="1" sqref="D8:D12">
      <formula1>"Nu,Da"</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99"/>
  </sheetPr>
  <dimension ref="A1:AY116"/>
  <sheetViews>
    <sheetView zoomScalePageLayoutView="0" workbookViewId="0" topLeftCell="A52">
      <selection activeCell="H9" sqref="H9"/>
    </sheetView>
  </sheetViews>
  <sheetFormatPr defaultColWidth="9.00390625" defaultRowHeight="12.75"/>
  <cols>
    <col min="1" max="1" width="3.28125" style="1" customWidth="1"/>
    <col min="2" max="2" width="20.421875" style="2" customWidth="1"/>
    <col min="3" max="3" width="15.140625" style="2" customWidth="1"/>
    <col min="4" max="4" width="8.57421875" style="2" customWidth="1"/>
    <col min="5" max="5" width="4.7109375" style="2" customWidth="1"/>
    <col min="6" max="6" width="6.8515625" style="2" customWidth="1"/>
    <col min="7" max="7" width="11.140625" style="2" customWidth="1"/>
    <col min="8" max="8" width="9.421875" style="2" customWidth="1"/>
    <col min="9" max="9" width="12.421875" style="2" customWidth="1"/>
    <col min="10" max="10" width="9.421875" style="2" customWidth="1"/>
    <col min="11" max="11" width="10.57421875" style="2" customWidth="1"/>
    <col min="12" max="12" width="8.28125" style="2" customWidth="1"/>
    <col min="13" max="13" width="7.28125" style="2" customWidth="1"/>
    <col min="14" max="14" width="9.421875" style="2" customWidth="1"/>
    <col min="15" max="15" width="10.00390625" style="2" customWidth="1"/>
    <col min="16" max="17" width="10.140625" style="1" customWidth="1"/>
    <col min="18" max="48" width="9.00390625" style="1" customWidth="1"/>
    <col min="49" max="49" width="7.57421875" style="1" hidden="1" customWidth="1"/>
    <col min="50" max="50" width="5.8515625" style="1" hidden="1" customWidth="1"/>
    <col min="51" max="51" width="9.00390625" style="1" hidden="1" customWidth="1"/>
    <col min="52" max="16384" width="9.00390625" style="1" customWidth="1"/>
  </cols>
  <sheetData>
    <row r="1" ht="13.5">
      <c r="P1" s="7"/>
    </row>
    <row r="2" spans="1:16" ht="13.5">
      <c r="A2" s="1" t="s">
        <v>11</v>
      </c>
      <c r="P2" s="7"/>
    </row>
    <row r="3" spans="2:16" ht="13.5">
      <c r="B3" s="8" t="str">
        <f>PROPER(Furnizor!B2)</f>
        <v>Sc Furnizor Anatomie Patologica Srl</v>
      </c>
      <c r="H3" s="9" t="s">
        <v>12</v>
      </c>
      <c r="N3" s="7" t="s">
        <v>228</v>
      </c>
      <c r="P3" s="7"/>
    </row>
    <row r="4" spans="1:16" ht="13.5">
      <c r="A4" s="10" t="s">
        <v>13</v>
      </c>
      <c r="C4" s="43"/>
      <c r="P4" s="7"/>
    </row>
    <row r="5" spans="2:16" ht="13.5">
      <c r="B5" s="44" t="str">
        <f>PROPER(Furnizor!AO29)</f>
        <v>Loc.Constanta Str.Nume Strada Punct De Lucru Nr.1 </v>
      </c>
      <c r="G5" s="9"/>
      <c r="P5" s="7"/>
    </row>
    <row r="6" spans="8:50" ht="13.5">
      <c r="H6" s="9" t="s">
        <v>14</v>
      </c>
      <c r="AW6" s="3"/>
      <c r="AX6" s="4"/>
    </row>
    <row r="7" spans="1:50" ht="23.25" customHeight="1">
      <c r="A7" s="370" t="s">
        <v>15</v>
      </c>
      <c r="B7" s="370" t="s">
        <v>16</v>
      </c>
      <c r="C7" s="370" t="s">
        <v>17</v>
      </c>
      <c r="D7" s="370" t="s">
        <v>18</v>
      </c>
      <c r="E7" s="370" t="s">
        <v>19</v>
      </c>
      <c r="F7" s="370"/>
      <c r="G7" s="370"/>
      <c r="H7" s="370"/>
      <c r="I7" s="371" t="s">
        <v>20</v>
      </c>
      <c r="J7" s="371"/>
      <c r="K7" s="370" t="s">
        <v>21</v>
      </c>
      <c r="L7" s="370"/>
      <c r="M7" s="370" t="s">
        <v>22</v>
      </c>
      <c r="N7" s="370" t="s">
        <v>23</v>
      </c>
      <c r="O7" s="370" t="s">
        <v>24</v>
      </c>
      <c r="P7" s="370" t="s">
        <v>25</v>
      </c>
      <c r="Q7" s="370" t="s">
        <v>26</v>
      </c>
      <c r="AW7" s="6"/>
      <c r="AX7" s="4"/>
    </row>
    <row r="8" spans="1:51" ht="27">
      <c r="A8" s="370"/>
      <c r="B8" s="370"/>
      <c r="C8" s="370"/>
      <c r="D8" s="370"/>
      <c r="E8" s="82" t="s">
        <v>27</v>
      </c>
      <c r="F8" s="83" t="s">
        <v>6</v>
      </c>
      <c r="G8" s="83" t="s">
        <v>7</v>
      </c>
      <c r="H8" s="83" t="s">
        <v>8</v>
      </c>
      <c r="I8" s="83" t="s">
        <v>6</v>
      </c>
      <c r="J8" s="334" t="s">
        <v>28</v>
      </c>
      <c r="K8" s="84" t="s">
        <v>29</v>
      </c>
      <c r="L8" s="84" t="s">
        <v>30</v>
      </c>
      <c r="M8" s="370"/>
      <c r="N8" s="370"/>
      <c r="O8" s="370"/>
      <c r="P8" s="370"/>
      <c r="Q8" s="370"/>
      <c r="AW8" s="4" t="s">
        <v>9</v>
      </c>
      <c r="AX8" s="4" t="s">
        <v>31</v>
      </c>
      <c r="AY8" s="2" t="s">
        <v>10</v>
      </c>
    </row>
    <row r="9" spans="1:51" s="45" customFormat="1" ht="27">
      <c r="A9" s="203">
        <v>1</v>
      </c>
      <c r="B9" s="47"/>
      <c r="C9" s="48"/>
      <c r="D9" s="47"/>
      <c r="E9" s="85"/>
      <c r="F9" s="85"/>
      <c r="G9" s="86"/>
      <c r="H9" s="87"/>
      <c r="I9" s="88"/>
      <c r="J9" s="87"/>
      <c r="K9" s="85"/>
      <c r="L9" s="89"/>
      <c r="M9" s="94"/>
      <c r="N9" s="85" t="s">
        <v>158</v>
      </c>
      <c r="O9" s="91" t="s">
        <v>64</v>
      </c>
      <c r="P9" s="91"/>
      <c r="Q9" s="82" t="s">
        <v>92</v>
      </c>
      <c r="R9" s="111"/>
      <c r="AW9" s="80">
        <f aca="true" ca="1" t="shared" si="0" ref="AW9:AW15">TODAY()+20</f>
        <v>44401</v>
      </c>
      <c r="AX9" s="81">
        <f aca="true" t="shared" si="1" ref="AX9:AX40">IF((H9&lt;=AW9),1,0)</f>
        <v>1</v>
      </c>
      <c r="AY9" s="45">
        <f aca="true" t="shared" si="2" ref="AY9:AY40">IF((J9&lt;=AW9),1,0)</f>
        <v>1</v>
      </c>
    </row>
    <row r="10" spans="1:51" s="45" customFormat="1" ht="13.5">
      <c r="A10" s="204">
        <v>2</v>
      </c>
      <c r="B10" s="47"/>
      <c r="C10" s="48"/>
      <c r="D10" s="47"/>
      <c r="E10" s="92"/>
      <c r="F10" s="202"/>
      <c r="G10" s="93"/>
      <c r="H10" s="87"/>
      <c r="I10" s="88"/>
      <c r="J10" s="87"/>
      <c r="K10" s="88"/>
      <c r="L10" s="89"/>
      <c r="M10" s="94"/>
      <c r="N10" s="85" t="s">
        <v>158</v>
      </c>
      <c r="O10" s="91"/>
      <c r="P10" s="91"/>
      <c r="Q10" s="82" t="s">
        <v>65</v>
      </c>
      <c r="R10" s="79"/>
      <c r="AW10" s="80">
        <f ca="1" t="shared" si="0"/>
        <v>44401</v>
      </c>
      <c r="AX10" s="81">
        <f t="shared" si="1"/>
        <v>1</v>
      </c>
      <c r="AY10" s="45">
        <f t="shared" si="2"/>
        <v>1</v>
      </c>
    </row>
    <row r="11" spans="1:51" s="45" customFormat="1" ht="13.5">
      <c r="A11" s="92">
        <v>3</v>
      </c>
      <c r="B11" s="92"/>
      <c r="C11" s="95"/>
      <c r="D11" s="92"/>
      <c r="E11" s="92"/>
      <c r="F11" s="88"/>
      <c r="G11" s="93"/>
      <c r="H11" s="87"/>
      <c r="I11" s="88"/>
      <c r="J11" s="87"/>
      <c r="K11" s="88"/>
      <c r="L11" s="89"/>
      <c r="M11" s="90"/>
      <c r="N11" s="85"/>
      <c r="O11" s="91"/>
      <c r="P11" s="91"/>
      <c r="Q11" s="82"/>
      <c r="AW11" s="80">
        <f ca="1" t="shared" si="0"/>
        <v>44401</v>
      </c>
      <c r="AX11" s="81">
        <f t="shared" si="1"/>
        <v>1</v>
      </c>
      <c r="AY11" s="45">
        <f t="shared" si="2"/>
        <v>1</v>
      </c>
    </row>
    <row r="12" spans="1:51" s="45" customFormat="1" ht="13.5">
      <c r="A12" s="89">
        <v>4</v>
      </c>
      <c r="B12" s="92"/>
      <c r="C12" s="95"/>
      <c r="D12" s="92"/>
      <c r="E12" s="92"/>
      <c r="F12" s="88"/>
      <c r="G12" s="93"/>
      <c r="H12" s="87"/>
      <c r="I12" s="88"/>
      <c r="J12" s="87"/>
      <c r="K12" s="88"/>
      <c r="L12" s="89"/>
      <c r="M12" s="90"/>
      <c r="N12" s="85"/>
      <c r="O12" s="91"/>
      <c r="P12" s="91"/>
      <c r="Q12" s="82"/>
      <c r="AW12" s="80">
        <f ca="1" t="shared" si="0"/>
        <v>44401</v>
      </c>
      <c r="AX12" s="81">
        <f t="shared" si="1"/>
        <v>1</v>
      </c>
      <c r="AY12" s="45">
        <f t="shared" si="2"/>
        <v>1</v>
      </c>
    </row>
    <row r="13" spans="1:51" s="45" customFormat="1" ht="13.5">
      <c r="A13" s="89">
        <v>5</v>
      </c>
      <c r="B13" s="92"/>
      <c r="C13" s="95"/>
      <c r="D13" s="92"/>
      <c r="E13" s="92"/>
      <c r="F13" s="88"/>
      <c r="G13" s="93"/>
      <c r="H13" s="87"/>
      <c r="I13" s="88"/>
      <c r="J13" s="87"/>
      <c r="K13" s="88"/>
      <c r="L13" s="89"/>
      <c r="M13" s="90"/>
      <c r="N13" s="85"/>
      <c r="O13" s="91"/>
      <c r="P13" s="91"/>
      <c r="Q13" s="82"/>
      <c r="AW13" s="80">
        <f ca="1" t="shared" si="0"/>
        <v>44401</v>
      </c>
      <c r="AX13" s="81">
        <f t="shared" si="1"/>
        <v>1</v>
      </c>
      <c r="AY13" s="45">
        <f t="shared" si="2"/>
        <v>1</v>
      </c>
    </row>
    <row r="14" spans="1:51" s="45" customFormat="1" ht="13.5">
      <c r="A14" s="92">
        <v>6</v>
      </c>
      <c r="B14" s="92"/>
      <c r="C14" s="95"/>
      <c r="D14" s="92"/>
      <c r="E14" s="92"/>
      <c r="F14" s="88"/>
      <c r="G14" s="93"/>
      <c r="H14" s="87"/>
      <c r="I14" s="88"/>
      <c r="J14" s="87"/>
      <c r="K14" s="88"/>
      <c r="L14" s="89"/>
      <c r="M14" s="90"/>
      <c r="N14" s="85"/>
      <c r="O14" s="91"/>
      <c r="P14" s="91"/>
      <c r="Q14" s="82"/>
      <c r="AW14" s="80">
        <f ca="1" t="shared" si="0"/>
        <v>44401</v>
      </c>
      <c r="AX14" s="81">
        <f t="shared" si="1"/>
        <v>1</v>
      </c>
      <c r="AY14" s="45">
        <f t="shared" si="2"/>
        <v>1</v>
      </c>
    </row>
    <row r="15" spans="1:51" s="45" customFormat="1" ht="12.75">
      <c r="A15" s="92">
        <v>7</v>
      </c>
      <c r="B15" s="92"/>
      <c r="C15" s="95"/>
      <c r="D15" s="92"/>
      <c r="E15" s="92"/>
      <c r="F15" s="88"/>
      <c r="G15" s="93"/>
      <c r="H15" s="87"/>
      <c r="I15" s="88"/>
      <c r="J15" s="87"/>
      <c r="K15" s="88"/>
      <c r="L15" s="89"/>
      <c r="M15" s="90"/>
      <c r="N15" s="85"/>
      <c r="O15" s="91"/>
      <c r="P15" s="91"/>
      <c r="Q15" s="82"/>
      <c r="AW15" s="80">
        <f ca="1" t="shared" si="0"/>
        <v>44401</v>
      </c>
      <c r="AX15" s="81">
        <f t="shared" si="1"/>
        <v>1</v>
      </c>
      <c r="AY15" s="45">
        <f t="shared" si="2"/>
        <v>1</v>
      </c>
    </row>
    <row r="16" spans="2:51" ht="12.75">
      <c r="B16" s="160" t="s">
        <v>32</v>
      </c>
      <c r="C16" s="163">
        <f>COUNT(C9:C15)</f>
        <v>0</v>
      </c>
      <c r="I16" s="23"/>
      <c r="J16" s="24"/>
      <c r="K16" s="23"/>
      <c r="L16" s="23"/>
      <c r="M16" s="23"/>
      <c r="N16" s="23"/>
      <c r="O16" s="25"/>
      <c r="P16" s="22"/>
      <c r="Q16" s="26"/>
      <c r="R16" s="22"/>
      <c r="T16" s="46"/>
      <c r="AW16" s="19">
        <f aca="true" ca="1" t="shared" si="3" ref="AW16:AW75">TODAY()+20</f>
        <v>44401</v>
      </c>
      <c r="AX16" s="81">
        <f t="shared" si="1"/>
        <v>1</v>
      </c>
      <c r="AY16" s="45">
        <f t="shared" si="2"/>
        <v>1</v>
      </c>
    </row>
    <row r="17" spans="1:51" ht="12.75">
      <c r="A17" s="5" t="s">
        <v>33</v>
      </c>
      <c r="I17" s="23"/>
      <c r="J17" s="23"/>
      <c r="K17" s="23"/>
      <c r="L17" s="23"/>
      <c r="M17" s="23"/>
      <c r="N17" s="23"/>
      <c r="O17" s="25"/>
      <c r="P17" s="22"/>
      <c r="Q17" s="26"/>
      <c r="R17" s="22"/>
      <c r="AW17" s="19">
        <f ca="1" t="shared" si="3"/>
        <v>44401</v>
      </c>
      <c r="AX17" s="81">
        <f t="shared" si="1"/>
        <v>1</v>
      </c>
      <c r="AY17" s="45">
        <f t="shared" si="2"/>
        <v>1</v>
      </c>
    </row>
    <row r="18" spans="1:51" ht="12.75">
      <c r="A18" s="5"/>
      <c r="I18" s="23"/>
      <c r="J18" s="23"/>
      <c r="K18" s="23"/>
      <c r="L18" s="23"/>
      <c r="M18" s="23"/>
      <c r="N18" s="23"/>
      <c r="O18" s="25"/>
      <c r="P18" s="22"/>
      <c r="Q18" s="26"/>
      <c r="R18" s="22"/>
      <c r="AW18" s="19">
        <f ca="1" t="shared" si="3"/>
        <v>44401</v>
      </c>
      <c r="AX18" s="81">
        <f t="shared" si="1"/>
        <v>1</v>
      </c>
      <c r="AY18" s="45">
        <f t="shared" si="2"/>
        <v>1</v>
      </c>
    </row>
    <row r="19" spans="3:51" ht="12.75">
      <c r="C19" s="27"/>
      <c r="D19" s="28" t="s">
        <v>34</v>
      </c>
      <c r="E19" s="9"/>
      <c r="I19" s="23"/>
      <c r="J19" s="23"/>
      <c r="K19" s="23"/>
      <c r="L19" s="23"/>
      <c r="M19" s="23"/>
      <c r="N19" s="23"/>
      <c r="O19" s="25"/>
      <c r="P19" s="22"/>
      <c r="Q19" s="26"/>
      <c r="R19" s="22"/>
      <c r="AW19" s="19">
        <f ca="1" t="shared" si="3"/>
        <v>44401</v>
      </c>
      <c r="AX19" s="81">
        <f t="shared" si="1"/>
        <v>1</v>
      </c>
      <c r="AY19" s="45">
        <f t="shared" si="2"/>
        <v>1</v>
      </c>
    </row>
    <row r="20" spans="3:51" ht="12.75">
      <c r="C20" s="29" t="s">
        <v>35</v>
      </c>
      <c r="I20" s="23"/>
      <c r="J20" s="23"/>
      <c r="K20" s="23"/>
      <c r="L20" s="23"/>
      <c r="M20" s="23"/>
      <c r="N20" s="23"/>
      <c r="O20" s="25"/>
      <c r="P20" s="114"/>
      <c r="Q20" s="26"/>
      <c r="R20" s="22"/>
      <c r="AW20" s="19">
        <f ca="1" t="shared" si="3"/>
        <v>44401</v>
      </c>
      <c r="AX20" s="81">
        <f t="shared" si="1"/>
        <v>1</v>
      </c>
      <c r="AY20" s="45">
        <f t="shared" si="2"/>
        <v>1</v>
      </c>
    </row>
    <row r="21" spans="1:51" ht="23.25" customHeight="1">
      <c r="A21" s="372" t="s">
        <v>15</v>
      </c>
      <c r="B21" s="372" t="s">
        <v>16</v>
      </c>
      <c r="C21" s="372" t="s">
        <v>17</v>
      </c>
      <c r="D21" s="372" t="s">
        <v>18</v>
      </c>
      <c r="E21" s="372" t="s">
        <v>36</v>
      </c>
      <c r="F21" s="372"/>
      <c r="G21" s="372"/>
      <c r="H21" s="372"/>
      <c r="I21" s="373" t="s">
        <v>20</v>
      </c>
      <c r="J21" s="373"/>
      <c r="K21" s="372" t="s">
        <v>21</v>
      </c>
      <c r="L21" s="372"/>
      <c r="M21" s="372" t="s">
        <v>22</v>
      </c>
      <c r="AW21" s="19">
        <f ca="1" t="shared" si="3"/>
        <v>44401</v>
      </c>
      <c r="AX21" s="81">
        <f t="shared" si="1"/>
        <v>1</v>
      </c>
      <c r="AY21" s="45">
        <f t="shared" si="2"/>
        <v>1</v>
      </c>
    </row>
    <row r="22" spans="1:51" ht="27">
      <c r="A22" s="372"/>
      <c r="B22" s="372"/>
      <c r="C22" s="372"/>
      <c r="D22" s="372"/>
      <c r="E22" s="11" t="s">
        <v>27</v>
      </c>
      <c r="F22" s="12" t="s">
        <v>6</v>
      </c>
      <c r="G22" s="12" t="s">
        <v>7</v>
      </c>
      <c r="H22" s="12" t="s">
        <v>8</v>
      </c>
      <c r="I22" s="12" t="s">
        <v>6</v>
      </c>
      <c r="J22" s="335" t="s">
        <v>28</v>
      </c>
      <c r="K22" s="13" t="s">
        <v>29</v>
      </c>
      <c r="L22" s="13" t="s">
        <v>30</v>
      </c>
      <c r="M22" s="372"/>
      <c r="AW22" s="19">
        <f ca="1" t="shared" si="3"/>
        <v>44401</v>
      </c>
      <c r="AX22" s="81">
        <f t="shared" si="1"/>
        <v>0</v>
      </c>
      <c r="AY22" s="45">
        <f t="shared" si="2"/>
        <v>0</v>
      </c>
    </row>
    <row r="23" spans="1:51" ht="13.5">
      <c r="A23" s="14">
        <v>1</v>
      </c>
      <c r="B23" s="12" t="s">
        <v>231</v>
      </c>
      <c r="C23" s="30">
        <v>112233445566</v>
      </c>
      <c r="D23" s="14" t="s">
        <v>232</v>
      </c>
      <c r="E23" s="14" t="s">
        <v>229</v>
      </c>
      <c r="F23" s="31" t="s">
        <v>307</v>
      </c>
      <c r="G23" s="16">
        <v>44208</v>
      </c>
      <c r="H23" s="87">
        <v>44572</v>
      </c>
      <c r="I23" s="17" t="s">
        <v>308</v>
      </c>
      <c r="J23" s="87">
        <v>44572</v>
      </c>
      <c r="K23" s="15" t="s">
        <v>230</v>
      </c>
      <c r="L23" s="14" t="s">
        <v>110</v>
      </c>
      <c r="M23" s="32"/>
      <c r="AW23" s="6">
        <f ca="1" t="shared" si="3"/>
        <v>44401</v>
      </c>
      <c r="AX23" s="81">
        <f t="shared" si="1"/>
        <v>0</v>
      </c>
      <c r="AY23" s="45">
        <f t="shared" si="2"/>
        <v>0</v>
      </c>
    </row>
    <row r="24" spans="1:51" ht="13.5">
      <c r="A24" s="14">
        <v>2</v>
      </c>
      <c r="B24" s="12"/>
      <c r="C24" s="30"/>
      <c r="D24" s="12"/>
      <c r="E24" s="12"/>
      <c r="F24" s="33"/>
      <c r="G24" s="16"/>
      <c r="H24" s="87"/>
      <c r="I24" s="17"/>
      <c r="J24" s="87"/>
      <c r="K24" s="17"/>
      <c r="L24" s="14"/>
      <c r="M24" s="31"/>
      <c r="AW24" s="6">
        <f ca="1" t="shared" si="3"/>
        <v>44401</v>
      </c>
      <c r="AX24" s="81">
        <f t="shared" si="1"/>
        <v>1</v>
      </c>
      <c r="AY24" s="45">
        <f t="shared" si="2"/>
        <v>1</v>
      </c>
    </row>
    <row r="25" spans="1:51" ht="13.5">
      <c r="A25" s="14">
        <v>3</v>
      </c>
      <c r="B25" s="12"/>
      <c r="C25" s="30"/>
      <c r="D25" s="12"/>
      <c r="E25" s="12"/>
      <c r="F25" s="17"/>
      <c r="G25" s="16"/>
      <c r="H25" s="87"/>
      <c r="I25" s="17"/>
      <c r="J25" s="87"/>
      <c r="K25" s="17"/>
      <c r="L25" s="14"/>
      <c r="M25" s="31"/>
      <c r="AW25" s="6">
        <f ca="1" t="shared" si="3"/>
        <v>44401</v>
      </c>
      <c r="AX25" s="81">
        <f t="shared" si="1"/>
        <v>1</v>
      </c>
      <c r="AY25" s="45">
        <f t="shared" si="2"/>
        <v>1</v>
      </c>
    </row>
    <row r="26" spans="1:51" ht="13.5">
      <c r="A26" s="14">
        <v>4</v>
      </c>
      <c r="B26" s="12"/>
      <c r="C26" s="30"/>
      <c r="D26" s="12"/>
      <c r="E26" s="12"/>
      <c r="F26" s="17"/>
      <c r="G26" s="16"/>
      <c r="H26" s="87"/>
      <c r="I26" s="17"/>
      <c r="J26" s="87"/>
      <c r="K26" s="17"/>
      <c r="L26" s="14"/>
      <c r="M26" s="18"/>
      <c r="AW26" s="6">
        <f ca="1" t="shared" si="3"/>
        <v>44401</v>
      </c>
      <c r="AX26" s="81">
        <f t="shared" si="1"/>
        <v>1</v>
      </c>
      <c r="AY26" s="45">
        <f t="shared" si="2"/>
        <v>1</v>
      </c>
    </row>
    <row r="27" spans="1:51" ht="13.5">
      <c r="A27" s="14">
        <v>5</v>
      </c>
      <c r="B27" s="12"/>
      <c r="C27" s="30"/>
      <c r="D27" s="12"/>
      <c r="E27" s="12"/>
      <c r="F27" s="17"/>
      <c r="G27" s="16"/>
      <c r="H27" s="87"/>
      <c r="I27" s="17"/>
      <c r="J27" s="87"/>
      <c r="K27" s="17"/>
      <c r="L27" s="14"/>
      <c r="M27" s="18"/>
      <c r="AW27" s="6">
        <f ca="1" t="shared" si="3"/>
        <v>44401</v>
      </c>
      <c r="AX27" s="81">
        <f t="shared" si="1"/>
        <v>1</v>
      </c>
      <c r="AY27" s="45">
        <f t="shared" si="2"/>
        <v>1</v>
      </c>
    </row>
    <row r="28" spans="1:51" ht="13.5">
      <c r="A28" s="14">
        <v>6</v>
      </c>
      <c r="B28" s="12"/>
      <c r="C28" s="30"/>
      <c r="D28" s="12"/>
      <c r="E28" s="12"/>
      <c r="F28" s="17"/>
      <c r="G28" s="16"/>
      <c r="H28" s="87"/>
      <c r="I28" s="17"/>
      <c r="J28" s="87"/>
      <c r="K28" s="17"/>
      <c r="L28" s="14"/>
      <c r="M28" s="18"/>
      <c r="AW28" s="6">
        <f ca="1" t="shared" si="3"/>
        <v>44401</v>
      </c>
      <c r="AX28" s="81">
        <f t="shared" si="1"/>
        <v>1</v>
      </c>
      <c r="AY28" s="45">
        <f t="shared" si="2"/>
        <v>1</v>
      </c>
    </row>
    <row r="29" spans="1:51" ht="13.5">
      <c r="A29" s="14">
        <v>7</v>
      </c>
      <c r="B29" s="12"/>
      <c r="C29" s="30"/>
      <c r="D29" s="12"/>
      <c r="E29" s="12"/>
      <c r="F29" s="17"/>
      <c r="G29" s="16"/>
      <c r="H29" s="87"/>
      <c r="I29" s="17"/>
      <c r="J29" s="87"/>
      <c r="K29" s="17"/>
      <c r="L29" s="14"/>
      <c r="M29" s="18"/>
      <c r="AW29" s="6">
        <f ca="1" t="shared" si="3"/>
        <v>44401</v>
      </c>
      <c r="AX29" s="81">
        <f t="shared" si="1"/>
        <v>1</v>
      </c>
      <c r="AY29" s="45">
        <f t="shared" si="2"/>
        <v>1</v>
      </c>
    </row>
    <row r="30" spans="1:51" ht="13.5">
      <c r="A30" s="14">
        <v>8</v>
      </c>
      <c r="B30" s="12"/>
      <c r="C30" s="30"/>
      <c r="D30" s="12"/>
      <c r="E30" s="12"/>
      <c r="F30" s="17"/>
      <c r="G30" s="16"/>
      <c r="H30" s="87"/>
      <c r="I30" s="17"/>
      <c r="J30" s="87"/>
      <c r="K30" s="17"/>
      <c r="L30" s="14"/>
      <c r="M30" s="18"/>
      <c r="AW30" s="6">
        <f ca="1" t="shared" si="3"/>
        <v>44401</v>
      </c>
      <c r="AX30" s="81">
        <f t="shared" si="1"/>
        <v>1</v>
      </c>
      <c r="AY30" s="45">
        <f t="shared" si="2"/>
        <v>1</v>
      </c>
    </row>
    <row r="31" spans="1:51" ht="13.5">
      <c r="A31" s="14">
        <v>9</v>
      </c>
      <c r="B31" s="12"/>
      <c r="C31" s="30"/>
      <c r="D31" s="12"/>
      <c r="E31" s="12"/>
      <c r="F31" s="17"/>
      <c r="G31" s="16"/>
      <c r="H31" s="87"/>
      <c r="I31" s="17"/>
      <c r="J31" s="87"/>
      <c r="K31" s="17"/>
      <c r="L31" s="14"/>
      <c r="M31" s="18"/>
      <c r="AW31" s="6">
        <f ca="1" t="shared" si="3"/>
        <v>44401</v>
      </c>
      <c r="AX31" s="81">
        <f t="shared" si="1"/>
        <v>1</v>
      </c>
      <c r="AY31" s="45">
        <f t="shared" si="2"/>
        <v>1</v>
      </c>
    </row>
    <row r="32" spans="1:51" ht="13.5">
      <c r="A32" s="14">
        <v>10</v>
      </c>
      <c r="B32" s="12"/>
      <c r="C32" s="30"/>
      <c r="D32" s="12"/>
      <c r="E32" s="12"/>
      <c r="F32" s="17"/>
      <c r="G32" s="16"/>
      <c r="H32" s="87"/>
      <c r="I32" s="17"/>
      <c r="J32" s="87"/>
      <c r="K32" s="17"/>
      <c r="L32" s="14"/>
      <c r="M32" s="18"/>
      <c r="AW32" s="6">
        <f ca="1" t="shared" si="3"/>
        <v>44401</v>
      </c>
      <c r="AX32" s="81">
        <f t="shared" si="1"/>
        <v>1</v>
      </c>
      <c r="AY32" s="45">
        <f t="shared" si="2"/>
        <v>1</v>
      </c>
    </row>
    <row r="33" spans="1:51" ht="13.5">
      <c r="A33" s="22"/>
      <c r="B33" s="161" t="s">
        <v>37</v>
      </c>
      <c r="C33" s="164">
        <f>COUNT(C23:C32)</f>
        <v>1</v>
      </c>
      <c r="D33" s="23"/>
      <c r="E33" s="23"/>
      <c r="F33" s="23"/>
      <c r="G33" s="23"/>
      <c r="H33" s="23"/>
      <c r="I33" s="23"/>
      <c r="J33" s="23"/>
      <c r="K33" s="23"/>
      <c r="L33" s="23"/>
      <c r="M33" s="34"/>
      <c r="AW33" s="6">
        <f ca="1" t="shared" si="3"/>
        <v>44401</v>
      </c>
      <c r="AX33" s="81">
        <f t="shared" si="1"/>
        <v>1</v>
      </c>
      <c r="AY33" s="45">
        <f t="shared" si="2"/>
        <v>1</v>
      </c>
    </row>
    <row r="34" spans="6:51" ht="13.5">
      <c r="F34" s="9"/>
      <c r="G34" s="9" t="s">
        <v>38</v>
      </c>
      <c r="AW34" s="6">
        <f ca="1" t="shared" si="3"/>
        <v>44401</v>
      </c>
      <c r="AX34" s="81">
        <f t="shared" si="1"/>
        <v>1</v>
      </c>
      <c r="AY34" s="45">
        <f t="shared" si="2"/>
        <v>1</v>
      </c>
    </row>
    <row r="35" spans="49:51" ht="13.5">
      <c r="AW35" s="6">
        <f ca="1" t="shared" si="3"/>
        <v>44401</v>
      </c>
      <c r="AX35" s="81">
        <f t="shared" si="1"/>
        <v>1</v>
      </c>
      <c r="AY35" s="45">
        <f t="shared" si="2"/>
        <v>1</v>
      </c>
    </row>
    <row r="36" spans="1:51" ht="24.75" customHeight="1">
      <c r="A36" s="372" t="s">
        <v>15</v>
      </c>
      <c r="B36" s="372" t="s">
        <v>16</v>
      </c>
      <c r="C36" s="372" t="s">
        <v>17</v>
      </c>
      <c r="D36" s="372" t="s">
        <v>18</v>
      </c>
      <c r="E36" s="372" t="s">
        <v>36</v>
      </c>
      <c r="F36" s="372"/>
      <c r="G36" s="372"/>
      <c r="H36" s="372"/>
      <c r="I36" s="373" t="s">
        <v>20</v>
      </c>
      <c r="J36" s="373"/>
      <c r="K36" s="372" t="s">
        <v>21</v>
      </c>
      <c r="L36" s="372"/>
      <c r="M36" s="372" t="s">
        <v>22</v>
      </c>
      <c r="N36" s="372" t="s">
        <v>39</v>
      </c>
      <c r="O36" s="372" t="s">
        <v>26</v>
      </c>
      <c r="AW36" s="6">
        <f ca="1" t="shared" si="3"/>
        <v>44401</v>
      </c>
      <c r="AX36" s="81">
        <f t="shared" si="1"/>
        <v>1</v>
      </c>
      <c r="AY36" s="45">
        <f t="shared" si="2"/>
        <v>1</v>
      </c>
    </row>
    <row r="37" spans="1:51" ht="27">
      <c r="A37" s="372"/>
      <c r="B37" s="372"/>
      <c r="C37" s="372"/>
      <c r="D37" s="372"/>
      <c r="E37" s="11" t="s">
        <v>27</v>
      </c>
      <c r="F37" s="12" t="s">
        <v>6</v>
      </c>
      <c r="G37" s="12" t="s">
        <v>7</v>
      </c>
      <c r="H37" s="12" t="s">
        <v>8</v>
      </c>
      <c r="I37" s="12" t="s">
        <v>6</v>
      </c>
      <c r="J37" s="335" t="s">
        <v>28</v>
      </c>
      <c r="K37" s="13" t="s">
        <v>29</v>
      </c>
      <c r="L37" s="13" t="s">
        <v>30</v>
      </c>
      <c r="M37" s="372"/>
      <c r="N37" s="372"/>
      <c r="O37" s="372"/>
      <c r="AW37" s="6">
        <f ca="1" t="shared" si="3"/>
        <v>44401</v>
      </c>
      <c r="AX37" s="81">
        <f t="shared" si="1"/>
        <v>0</v>
      </c>
      <c r="AY37" s="45">
        <f t="shared" si="2"/>
        <v>0</v>
      </c>
    </row>
    <row r="38" spans="1:51" ht="13.5">
      <c r="A38" s="35">
        <v>1</v>
      </c>
      <c r="B38" s="35"/>
      <c r="C38" s="36"/>
      <c r="D38" s="35"/>
      <c r="E38" s="35"/>
      <c r="F38" s="35"/>
      <c r="G38" s="16"/>
      <c r="H38" s="87"/>
      <c r="I38" s="21"/>
      <c r="J38" s="87"/>
      <c r="K38" s="35"/>
      <c r="L38" s="14"/>
      <c r="M38" s="18"/>
      <c r="N38" s="15"/>
      <c r="O38" s="35"/>
      <c r="AW38" s="6">
        <f ca="1" t="shared" si="3"/>
        <v>44401</v>
      </c>
      <c r="AX38" s="81">
        <f t="shared" si="1"/>
        <v>1</v>
      </c>
      <c r="AY38" s="45">
        <f t="shared" si="2"/>
        <v>1</v>
      </c>
    </row>
    <row r="39" spans="1:51" ht="13.5">
      <c r="A39" s="35">
        <v>2</v>
      </c>
      <c r="B39" s="35"/>
      <c r="C39" s="36"/>
      <c r="D39" s="35"/>
      <c r="E39" s="35"/>
      <c r="F39" s="35"/>
      <c r="G39" s="16"/>
      <c r="H39" s="16"/>
      <c r="I39" s="21"/>
      <c r="J39" s="16"/>
      <c r="K39" s="35"/>
      <c r="L39" s="14"/>
      <c r="M39" s="18"/>
      <c r="N39" s="15"/>
      <c r="O39" s="35"/>
      <c r="AW39" s="6">
        <f ca="1" t="shared" si="3"/>
        <v>44401</v>
      </c>
      <c r="AX39" s="81">
        <f t="shared" si="1"/>
        <v>1</v>
      </c>
      <c r="AY39" s="45">
        <f t="shared" si="2"/>
        <v>1</v>
      </c>
    </row>
    <row r="40" spans="1:51" ht="13.5">
      <c r="A40" s="35">
        <v>3</v>
      </c>
      <c r="B40" s="35"/>
      <c r="C40" s="36"/>
      <c r="D40" s="35"/>
      <c r="E40" s="35"/>
      <c r="F40" s="35"/>
      <c r="G40" s="16"/>
      <c r="H40" s="16"/>
      <c r="I40" s="36"/>
      <c r="J40" s="16"/>
      <c r="K40" s="35"/>
      <c r="L40" s="14"/>
      <c r="M40" s="18"/>
      <c r="N40" s="15"/>
      <c r="O40" s="35"/>
      <c r="AW40" s="6">
        <f ca="1" t="shared" si="3"/>
        <v>44401</v>
      </c>
      <c r="AX40" s="81">
        <f t="shared" si="1"/>
        <v>1</v>
      </c>
      <c r="AY40" s="45">
        <f t="shared" si="2"/>
        <v>1</v>
      </c>
    </row>
    <row r="41" spans="1:51" ht="13.5">
      <c r="A41" s="12">
        <v>4</v>
      </c>
      <c r="B41" s="12"/>
      <c r="C41" s="20"/>
      <c r="D41" s="12"/>
      <c r="E41" s="12"/>
      <c r="F41" s="12"/>
      <c r="G41" s="16"/>
      <c r="H41" s="16"/>
      <c r="I41" s="20"/>
      <c r="J41" s="16"/>
      <c r="K41" s="12"/>
      <c r="L41" s="14"/>
      <c r="M41" s="18"/>
      <c r="N41" s="15"/>
      <c r="O41" s="35"/>
      <c r="AW41" s="6">
        <f ca="1" t="shared" si="3"/>
        <v>44401</v>
      </c>
      <c r="AX41" s="81">
        <f aca="true" t="shared" si="4" ref="AX41:AX72">IF((H41&lt;=AW41),1,0)</f>
        <v>1</v>
      </c>
      <c r="AY41" s="45">
        <f aca="true" t="shared" si="5" ref="AY41:AY72">IF((J41&lt;=AW41),1,0)</f>
        <v>1</v>
      </c>
    </row>
    <row r="42" spans="1:51" ht="13.5">
      <c r="A42" s="22"/>
      <c r="B42" s="160" t="s">
        <v>40</v>
      </c>
      <c r="C42" s="165">
        <f>COUNT(C38:C41)</f>
        <v>0</v>
      </c>
      <c r="D42" s="23"/>
      <c r="E42" s="23"/>
      <c r="F42" s="23"/>
      <c r="G42" s="23"/>
      <c r="H42" s="23"/>
      <c r="I42" s="23"/>
      <c r="J42" s="23"/>
      <c r="K42" s="23"/>
      <c r="L42" s="23"/>
      <c r="M42" s="34"/>
      <c r="N42" s="23"/>
      <c r="AW42" s="6">
        <f ca="1" t="shared" si="3"/>
        <v>44401</v>
      </c>
      <c r="AX42" s="81">
        <f t="shared" si="4"/>
        <v>1</v>
      </c>
      <c r="AY42" s="45">
        <f t="shared" si="5"/>
        <v>1</v>
      </c>
    </row>
    <row r="43" spans="1:51" ht="13.5">
      <c r="A43" s="22"/>
      <c r="B43" s="23"/>
      <c r="C43" s="23"/>
      <c r="D43" s="23"/>
      <c r="E43" s="23"/>
      <c r="F43" s="28" t="s">
        <v>41</v>
      </c>
      <c r="G43" s="23"/>
      <c r="H43" s="23"/>
      <c r="I43" s="23"/>
      <c r="J43" s="23"/>
      <c r="K43" s="23"/>
      <c r="L43" s="23"/>
      <c r="M43" s="34"/>
      <c r="N43" s="23"/>
      <c r="AW43" s="6">
        <f ca="1" t="shared" si="3"/>
        <v>44401</v>
      </c>
      <c r="AX43" s="81">
        <f t="shared" si="4"/>
        <v>1</v>
      </c>
      <c r="AY43" s="45">
        <f t="shared" si="5"/>
        <v>1</v>
      </c>
    </row>
    <row r="44" spans="49:51" ht="13.5">
      <c r="AW44" s="6">
        <f ca="1" t="shared" si="3"/>
        <v>44401</v>
      </c>
      <c r="AX44" s="81">
        <f t="shared" si="4"/>
        <v>1</v>
      </c>
      <c r="AY44" s="45">
        <f t="shared" si="5"/>
        <v>1</v>
      </c>
    </row>
    <row r="45" spans="1:51" ht="24" customHeight="1">
      <c r="A45" s="372" t="s">
        <v>15</v>
      </c>
      <c r="B45" s="372" t="s">
        <v>16</v>
      </c>
      <c r="C45" s="372" t="s">
        <v>17</v>
      </c>
      <c r="D45" s="372" t="s">
        <v>18</v>
      </c>
      <c r="E45" s="372" t="s">
        <v>36</v>
      </c>
      <c r="F45" s="372"/>
      <c r="G45" s="372"/>
      <c r="H45" s="372"/>
      <c r="I45" s="373" t="s">
        <v>20</v>
      </c>
      <c r="J45" s="373"/>
      <c r="K45" s="372" t="s">
        <v>21</v>
      </c>
      <c r="L45" s="372"/>
      <c r="M45" s="372" t="s">
        <v>22</v>
      </c>
      <c r="N45" s="372" t="s">
        <v>39</v>
      </c>
      <c r="O45" s="372" t="s">
        <v>26</v>
      </c>
      <c r="AW45" s="6">
        <f ca="1" t="shared" si="3"/>
        <v>44401</v>
      </c>
      <c r="AX45" s="81">
        <f t="shared" si="4"/>
        <v>1</v>
      </c>
      <c r="AY45" s="45">
        <f t="shared" si="5"/>
        <v>1</v>
      </c>
    </row>
    <row r="46" spans="1:51" ht="27">
      <c r="A46" s="372"/>
      <c r="B46" s="372"/>
      <c r="C46" s="372"/>
      <c r="D46" s="372"/>
      <c r="E46" s="11" t="s">
        <v>27</v>
      </c>
      <c r="F46" s="12" t="s">
        <v>6</v>
      </c>
      <c r="G46" s="12" t="s">
        <v>7</v>
      </c>
      <c r="H46" s="12" t="s">
        <v>8</v>
      </c>
      <c r="I46" s="12" t="s">
        <v>6</v>
      </c>
      <c r="J46" s="335" t="s">
        <v>28</v>
      </c>
      <c r="K46" s="13" t="s">
        <v>29</v>
      </c>
      <c r="L46" s="13" t="s">
        <v>30</v>
      </c>
      <c r="M46" s="372"/>
      <c r="N46" s="372"/>
      <c r="O46" s="372"/>
      <c r="AW46" s="6">
        <f ca="1" t="shared" si="3"/>
        <v>44401</v>
      </c>
      <c r="AX46" s="81">
        <f t="shared" si="4"/>
        <v>0</v>
      </c>
      <c r="AY46" s="45">
        <f t="shared" si="5"/>
        <v>0</v>
      </c>
    </row>
    <row r="47" spans="1:51" ht="13.5">
      <c r="A47" s="14">
        <v>1</v>
      </c>
      <c r="B47" s="37"/>
      <c r="C47" s="38"/>
      <c r="D47" s="37"/>
      <c r="E47" s="37"/>
      <c r="F47" s="37"/>
      <c r="G47" s="16"/>
      <c r="H47" s="87"/>
      <c r="I47" s="17"/>
      <c r="J47" s="87"/>
      <c r="K47" s="37"/>
      <c r="L47" s="14"/>
      <c r="M47" s="18"/>
      <c r="N47" s="15"/>
      <c r="O47" s="35"/>
      <c r="AW47" s="6">
        <f ca="1" t="shared" si="3"/>
        <v>44401</v>
      </c>
      <c r="AX47" s="81">
        <f t="shared" si="4"/>
        <v>1</v>
      </c>
      <c r="AY47" s="45">
        <f t="shared" si="5"/>
        <v>1</v>
      </c>
    </row>
    <row r="48" spans="1:51" ht="13.5">
      <c r="A48" s="14">
        <v>2</v>
      </c>
      <c r="B48" s="37"/>
      <c r="C48" s="38"/>
      <c r="D48" s="37"/>
      <c r="E48" s="37"/>
      <c r="F48" s="37"/>
      <c r="G48" s="16"/>
      <c r="H48" s="87"/>
      <c r="I48" s="17"/>
      <c r="J48" s="87"/>
      <c r="K48" s="37"/>
      <c r="L48" s="14"/>
      <c r="M48" s="18"/>
      <c r="N48" s="15"/>
      <c r="O48" s="35"/>
      <c r="AW48" s="6">
        <f ca="1" t="shared" si="3"/>
        <v>44401</v>
      </c>
      <c r="AX48" s="81">
        <f t="shared" si="4"/>
        <v>1</v>
      </c>
      <c r="AY48" s="45">
        <f t="shared" si="5"/>
        <v>1</v>
      </c>
    </row>
    <row r="49" spans="1:51" ht="13.5">
      <c r="A49" s="14">
        <v>3</v>
      </c>
      <c r="B49" s="37"/>
      <c r="C49" s="38"/>
      <c r="D49" s="37"/>
      <c r="E49" s="37"/>
      <c r="F49" s="37"/>
      <c r="G49" s="16"/>
      <c r="H49" s="87"/>
      <c r="I49" s="17"/>
      <c r="J49" s="87"/>
      <c r="K49" s="37"/>
      <c r="L49" s="14"/>
      <c r="M49" s="18"/>
      <c r="N49" s="15"/>
      <c r="O49" s="35"/>
      <c r="AW49" s="6">
        <f ca="1" t="shared" si="3"/>
        <v>44401</v>
      </c>
      <c r="AX49" s="81">
        <f t="shared" si="4"/>
        <v>1</v>
      </c>
      <c r="AY49" s="45">
        <f t="shared" si="5"/>
        <v>1</v>
      </c>
    </row>
    <row r="50" spans="1:51" ht="13.5">
      <c r="A50" s="14">
        <v>4</v>
      </c>
      <c r="B50" s="37"/>
      <c r="C50" s="38"/>
      <c r="D50" s="37"/>
      <c r="E50" s="37"/>
      <c r="F50" s="37"/>
      <c r="G50" s="16"/>
      <c r="H50" s="87"/>
      <c r="I50" s="17"/>
      <c r="J50" s="87"/>
      <c r="K50" s="37"/>
      <c r="L50" s="14"/>
      <c r="M50" s="18"/>
      <c r="N50" s="15"/>
      <c r="O50" s="35"/>
      <c r="AW50" s="6">
        <f ca="1" t="shared" si="3"/>
        <v>44401</v>
      </c>
      <c r="AX50" s="81">
        <f t="shared" si="4"/>
        <v>1</v>
      </c>
      <c r="AY50" s="45">
        <f t="shared" si="5"/>
        <v>1</v>
      </c>
    </row>
    <row r="51" spans="1:51" ht="13.5">
      <c r="A51" s="14">
        <v>5</v>
      </c>
      <c r="B51" s="37"/>
      <c r="C51" s="38"/>
      <c r="D51" s="37"/>
      <c r="E51" s="37"/>
      <c r="F51" s="37"/>
      <c r="G51" s="16"/>
      <c r="H51" s="87"/>
      <c r="I51" s="17"/>
      <c r="J51" s="87"/>
      <c r="K51" s="37"/>
      <c r="L51" s="14"/>
      <c r="M51" s="18"/>
      <c r="N51" s="15"/>
      <c r="O51" s="35"/>
      <c r="AW51" s="6">
        <f ca="1" t="shared" si="3"/>
        <v>44401</v>
      </c>
      <c r="AX51" s="81">
        <f t="shared" si="4"/>
        <v>1</v>
      </c>
      <c r="AY51" s="45">
        <f t="shared" si="5"/>
        <v>1</v>
      </c>
    </row>
    <row r="52" spans="1:51" ht="13.5">
      <c r="A52" s="14">
        <v>6</v>
      </c>
      <c r="B52" s="37"/>
      <c r="C52" s="38"/>
      <c r="D52" s="37"/>
      <c r="E52" s="37"/>
      <c r="F52" s="37"/>
      <c r="G52" s="16"/>
      <c r="H52" s="87"/>
      <c r="I52" s="17"/>
      <c r="J52" s="87"/>
      <c r="K52" s="37"/>
      <c r="L52" s="14"/>
      <c r="M52" s="18"/>
      <c r="N52" s="15"/>
      <c r="O52" s="35"/>
      <c r="AW52" s="6">
        <f ca="1" t="shared" si="3"/>
        <v>44401</v>
      </c>
      <c r="AX52" s="81">
        <f t="shared" si="4"/>
        <v>1</v>
      </c>
      <c r="AY52" s="45">
        <f t="shared" si="5"/>
        <v>1</v>
      </c>
    </row>
    <row r="53" spans="1:51" ht="13.5">
      <c r="A53" s="14">
        <v>7</v>
      </c>
      <c r="B53" s="37"/>
      <c r="C53" s="38"/>
      <c r="D53" s="37"/>
      <c r="E53" s="37"/>
      <c r="F53" s="37"/>
      <c r="G53" s="16"/>
      <c r="H53" s="87"/>
      <c r="I53" s="17"/>
      <c r="J53" s="87"/>
      <c r="K53" s="37"/>
      <c r="L53" s="14"/>
      <c r="M53" s="18"/>
      <c r="N53" s="15"/>
      <c r="O53" s="35"/>
      <c r="AW53" s="6">
        <f ca="1" t="shared" si="3"/>
        <v>44401</v>
      </c>
      <c r="AX53" s="81">
        <f t="shared" si="4"/>
        <v>1</v>
      </c>
      <c r="AY53" s="45">
        <f t="shared" si="5"/>
        <v>1</v>
      </c>
    </row>
    <row r="54" spans="1:51" ht="13.5">
      <c r="A54" s="14">
        <v>8</v>
      </c>
      <c r="B54" s="37"/>
      <c r="C54" s="38"/>
      <c r="D54" s="37"/>
      <c r="E54" s="37"/>
      <c r="F54" s="37"/>
      <c r="G54" s="16"/>
      <c r="H54" s="87"/>
      <c r="I54" s="17"/>
      <c r="J54" s="87"/>
      <c r="K54" s="37"/>
      <c r="L54" s="14"/>
      <c r="M54" s="18"/>
      <c r="N54" s="15"/>
      <c r="O54" s="35"/>
      <c r="AW54" s="6">
        <f ca="1" t="shared" si="3"/>
        <v>44401</v>
      </c>
      <c r="AX54" s="81">
        <f t="shared" si="4"/>
        <v>1</v>
      </c>
      <c r="AY54" s="45">
        <f t="shared" si="5"/>
        <v>1</v>
      </c>
    </row>
    <row r="55" spans="2:51" ht="13.5">
      <c r="B55" s="160" t="s">
        <v>42</v>
      </c>
      <c r="C55" s="163">
        <f>COUNT(C47:C54)</f>
        <v>0</v>
      </c>
      <c r="M55" s="39"/>
      <c r="AW55" s="6">
        <f ca="1" t="shared" si="3"/>
        <v>44401</v>
      </c>
      <c r="AX55" s="81">
        <f t="shared" si="4"/>
        <v>1</v>
      </c>
      <c r="AY55" s="45">
        <f t="shared" si="5"/>
        <v>1</v>
      </c>
    </row>
    <row r="56" spans="6:51" ht="13.5">
      <c r="F56" s="28" t="s">
        <v>43</v>
      </c>
      <c r="M56" s="39"/>
      <c r="AW56" s="6">
        <f ca="1" t="shared" si="3"/>
        <v>44401</v>
      </c>
      <c r="AX56" s="81">
        <f t="shared" si="4"/>
        <v>1</v>
      </c>
      <c r="AY56" s="45">
        <f t="shared" si="5"/>
        <v>1</v>
      </c>
    </row>
    <row r="57" spans="49:51" ht="13.5">
      <c r="AW57" s="6">
        <f ca="1" t="shared" si="3"/>
        <v>44401</v>
      </c>
      <c r="AX57" s="81">
        <f t="shared" si="4"/>
        <v>1</v>
      </c>
      <c r="AY57" s="45">
        <f t="shared" si="5"/>
        <v>1</v>
      </c>
    </row>
    <row r="58" spans="1:51" ht="26.25" customHeight="1">
      <c r="A58" s="372" t="s">
        <v>15</v>
      </c>
      <c r="B58" s="372" t="s">
        <v>16</v>
      </c>
      <c r="C58" s="372" t="s">
        <v>17</v>
      </c>
      <c r="D58" s="372" t="s">
        <v>18</v>
      </c>
      <c r="E58" s="372" t="s">
        <v>36</v>
      </c>
      <c r="F58" s="372"/>
      <c r="G58" s="372"/>
      <c r="H58" s="372"/>
      <c r="I58" s="373" t="s">
        <v>20</v>
      </c>
      <c r="J58" s="373"/>
      <c r="K58" s="372" t="s">
        <v>21</v>
      </c>
      <c r="L58" s="372"/>
      <c r="M58" s="372" t="s">
        <v>22</v>
      </c>
      <c r="N58" s="372" t="s">
        <v>39</v>
      </c>
      <c r="O58" s="372" t="s">
        <v>26</v>
      </c>
      <c r="AW58" s="6">
        <f ca="1" t="shared" si="3"/>
        <v>44401</v>
      </c>
      <c r="AX58" s="81">
        <f t="shared" si="4"/>
        <v>1</v>
      </c>
      <c r="AY58" s="45">
        <f t="shared" si="5"/>
        <v>1</v>
      </c>
    </row>
    <row r="59" spans="1:51" ht="27">
      <c r="A59" s="372"/>
      <c r="B59" s="372"/>
      <c r="C59" s="372"/>
      <c r="D59" s="372"/>
      <c r="E59" s="11" t="s">
        <v>27</v>
      </c>
      <c r="F59" s="12" t="s">
        <v>6</v>
      </c>
      <c r="G59" s="12" t="s">
        <v>7</v>
      </c>
      <c r="H59" s="12" t="s">
        <v>8</v>
      </c>
      <c r="I59" s="12" t="s">
        <v>6</v>
      </c>
      <c r="J59" s="335" t="s">
        <v>28</v>
      </c>
      <c r="K59" s="13" t="s">
        <v>29</v>
      </c>
      <c r="L59" s="13" t="s">
        <v>30</v>
      </c>
      <c r="M59" s="374"/>
      <c r="N59" s="372"/>
      <c r="O59" s="372"/>
      <c r="AW59" s="6">
        <f ca="1" t="shared" si="3"/>
        <v>44401</v>
      </c>
      <c r="AX59" s="81">
        <f t="shared" si="4"/>
        <v>0</v>
      </c>
      <c r="AY59" s="45">
        <f t="shared" si="5"/>
        <v>0</v>
      </c>
    </row>
    <row r="60" spans="1:51" ht="13.5">
      <c r="A60" s="14">
        <v>1</v>
      </c>
      <c r="B60" s="12"/>
      <c r="C60" s="20"/>
      <c r="D60" s="12"/>
      <c r="E60" s="14"/>
      <c r="F60" s="12"/>
      <c r="G60" s="16"/>
      <c r="H60" s="87"/>
      <c r="I60" s="40"/>
      <c r="J60" s="87"/>
      <c r="K60" s="12"/>
      <c r="L60" s="254"/>
      <c r="M60" s="257"/>
      <c r="N60" s="255"/>
      <c r="O60" s="35"/>
      <c r="AW60" s="6">
        <f ca="1" t="shared" si="3"/>
        <v>44401</v>
      </c>
      <c r="AX60" s="81">
        <f t="shared" si="4"/>
        <v>1</v>
      </c>
      <c r="AY60" s="45">
        <f t="shared" si="5"/>
        <v>1</v>
      </c>
    </row>
    <row r="61" spans="1:51" ht="13.5">
      <c r="A61" s="14">
        <v>2</v>
      </c>
      <c r="B61" s="12"/>
      <c r="C61" s="20"/>
      <c r="D61" s="12"/>
      <c r="E61" s="14"/>
      <c r="F61" s="12"/>
      <c r="G61" s="16"/>
      <c r="H61" s="16"/>
      <c r="I61" s="20"/>
      <c r="J61" s="16"/>
      <c r="K61" s="12"/>
      <c r="L61" s="14"/>
      <c r="M61" s="256"/>
      <c r="N61" s="15"/>
      <c r="O61" s="35"/>
      <c r="AW61" s="6">
        <f ca="1" t="shared" si="3"/>
        <v>44401</v>
      </c>
      <c r="AX61" s="81">
        <f t="shared" si="4"/>
        <v>1</v>
      </c>
      <c r="AY61" s="45">
        <f t="shared" si="5"/>
        <v>1</v>
      </c>
    </row>
    <row r="62" spans="1:51" ht="13.5">
      <c r="A62" s="14">
        <v>3</v>
      </c>
      <c r="B62" s="12"/>
      <c r="C62" s="20"/>
      <c r="D62" s="12"/>
      <c r="E62" s="14"/>
      <c r="F62" s="12"/>
      <c r="G62" s="16"/>
      <c r="H62" s="16"/>
      <c r="I62" s="20"/>
      <c r="J62" s="16"/>
      <c r="K62" s="12"/>
      <c r="L62" s="14"/>
      <c r="M62" s="18"/>
      <c r="N62" s="15"/>
      <c r="O62" s="35"/>
      <c r="AW62" s="6">
        <f ca="1" t="shared" si="3"/>
        <v>44401</v>
      </c>
      <c r="AX62" s="81">
        <f t="shared" si="4"/>
        <v>1</v>
      </c>
      <c r="AY62" s="45">
        <f t="shared" si="5"/>
        <v>1</v>
      </c>
    </row>
    <row r="63" spans="1:51" ht="13.5">
      <c r="A63" s="14">
        <v>4</v>
      </c>
      <c r="B63" s="12"/>
      <c r="C63" s="20"/>
      <c r="D63" s="12"/>
      <c r="E63" s="14"/>
      <c r="F63" s="12"/>
      <c r="G63" s="16"/>
      <c r="H63" s="16"/>
      <c r="I63" s="20"/>
      <c r="J63" s="16"/>
      <c r="K63" s="12"/>
      <c r="L63" s="14"/>
      <c r="M63" s="18"/>
      <c r="N63" s="15"/>
      <c r="O63" s="35"/>
      <c r="AW63" s="6">
        <f ca="1" t="shared" si="3"/>
        <v>44401</v>
      </c>
      <c r="AX63" s="81">
        <f t="shared" si="4"/>
        <v>1</v>
      </c>
      <c r="AY63" s="45">
        <f t="shared" si="5"/>
        <v>1</v>
      </c>
    </row>
    <row r="64" spans="2:51" ht="13.5">
      <c r="B64" s="160" t="s">
        <v>44</v>
      </c>
      <c r="C64" s="163">
        <f>COUNT(C60:C63)</f>
        <v>0</v>
      </c>
      <c r="F64" s="23"/>
      <c r="G64" s="23"/>
      <c r="H64" s="23"/>
      <c r="I64" s="23"/>
      <c r="J64" s="23"/>
      <c r="K64" s="23"/>
      <c r="M64" s="39"/>
      <c r="AW64" s="6">
        <f ca="1" t="shared" si="3"/>
        <v>44401</v>
      </c>
      <c r="AX64" s="81">
        <f t="shared" si="4"/>
        <v>1</v>
      </c>
      <c r="AY64" s="45">
        <f t="shared" si="5"/>
        <v>1</v>
      </c>
    </row>
    <row r="65" spans="13:51" ht="9.75" customHeight="1">
      <c r="M65" s="39"/>
      <c r="AW65" s="6">
        <f ca="1" t="shared" si="3"/>
        <v>44401</v>
      </c>
      <c r="AX65" s="81">
        <f t="shared" si="4"/>
        <v>1</v>
      </c>
      <c r="AY65" s="45">
        <f t="shared" si="5"/>
        <v>1</v>
      </c>
    </row>
    <row r="66" spans="49:51" ht="9.75" customHeight="1">
      <c r="AW66" s="6">
        <f ca="1" t="shared" si="3"/>
        <v>44401</v>
      </c>
      <c r="AX66" s="81">
        <f t="shared" si="4"/>
        <v>1</v>
      </c>
      <c r="AY66" s="45">
        <f t="shared" si="5"/>
        <v>1</v>
      </c>
    </row>
    <row r="67" spans="6:51" ht="13.5">
      <c r="F67" s="28" t="s">
        <v>45</v>
      </c>
      <c r="AW67" s="6">
        <f ca="1" t="shared" si="3"/>
        <v>44401</v>
      </c>
      <c r="AX67" s="81">
        <f t="shared" si="4"/>
        <v>1</v>
      </c>
      <c r="AY67" s="45">
        <f t="shared" si="5"/>
        <v>1</v>
      </c>
    </row>
    <row r="68" spans="49:51" ht="9.75" customHeight="1">
      <c r="AW68" s="6">
        <f ca="1" t="shared" si="3"/>
        <v>44401</v>
      </c>
      <c r="AX68" s="81">
        <f t="shared" si="4"/>
        <v>1</v>
      </c>
      <c r="AY68" s="45">
        <f t="shared" si="5"/>
        <v>1</v>
      </c>
    </row>
    <row r="69" spans="1:51" ht="26.25" customHeight="1">
      <c r="A69" s="372" t="s">
        <v>15</v>
      </c>
      <c r="B69" s="372" t="s">
        <v>16</v>
      </c>
      <c r="C69" s="372" t="s">
        <v>17</v>
      </c>
      <c r="D69" s="372" t="s">
        <v>18</v>
      </c>
      <c r="E69" s="372" t="s">
        <v>36</v>
      </c>
      <c r="F69" s="372"/>
      <c r="G69" s="372"/>
      <c r="H69" s="372"/>
      <c r="I69" s="373" t="s">
        <v>20</v>
      </c>
      <c r="J69" s="373"/>
      <c r="K69" s="372" t="s">
        <v>21</v>
      </c>
      <c r="L69" s="372"/>
      <c r="M69" s="372" t="s">
        <v>22</v>
      </c>
      <c r="N69" s="372" t="s">
        <v>39</v>
      </c>
      <c r="O69" s="372" t="s">
        <v>26</v>
      </c>
      <c r="AW69" s="6">
        <f ca="1" t="shared" si="3"/>
        <v>44401</v>
      </c>
      <c r="AX69" s="81">
        <f t="shared" si="4"/>
        <v>1</v>
      </c>
      <c r="AY69" s="45">
        <f t="shared" si="5"/>
        <v>1</v>
      </c>
    </row>
    <row r="70" spans="1:51" ht="27">
      <c r="A70" s="372"/>
      <c r="B70" s="372"/>
      <c r="C70" s="372"/>
      <c r="D70" s="372"/>
      <c r="E70" s="11" t="s">
        <v>27</v>
      </c>
      <c r="F70" s="12" t="s">
        <v>6</v>
      </c>
      <c r="G70" s="12" t="s">
        <v>7</v>
      </c>
      <c r="H70" s="12" t="s">
        <v>8</v>
      </c>
      <c r="I70" s="12" t="s">
        <v>6</v>
      </c>
      <c r="J70" s="335" t="s">
        <v>28</v>
      </c>
      <c r="K70" s="13" t="s">
        <v>29</v>
      </c>
      <c r="L70" s="13" t="s">
        <v>30</v>
      </c>
      <c r="M70" s="372"/>
      <c r="N70" s="372"/>
      <c r="O70" s="372"/>
      <c r="AW70" s="6">
        <f ca="1" t="shared" si="3"/>
        <v>44401</v>
      </c>
      <c r="AX70" s="81">
        <f t="shared" si="4"/>
        <v>0</v>
      </c>
      <c r="AY70" s="45">
        <f t="shared" si="5"/>
        <v>0</v>
      </c>
    </row>
    <row r="71" spans="1:51" ht="12.75" customHeight="1">
      <c r="A71" s="14">
        <v>1</v>
      </c>
      <c r="B71" s="12"/>
      <c r="C71" s="20"/>
      <c r="D71" s="12"/>
      <c r="E71" s="14"/>
      <c r="F71" s="12"/>
      <c r="G71" s="16"/>
      <c r="H71" s="87"/>
      <c r="I71" s="20"/>
      <c r="J71" s="87"/>
      <c r="K71" s="12"/>
      <c r="L71" s="14"/>
      <c r="M71" s="18"/>
      <c r="N71" s="15"/>
      <c r="O71" s="35"/>
      <c r="AW71" s="6">
        <f ca="1" t="shared" si="3"/>
        <v>44401</v>
      </c>
      <c r="AX71" s="81">
        <f t="shared" si="4"/>
        <v>1</v>
      </c>
      <c r="AY71" s="45">
        <f t="shared" si="5"/>
        <v>1</v>
      </c>
    </row>
    <row r="72" spans="1:51" ht="12.75" customHeight="1">
      <c r="A72" s="14">
        <v>2</v>
      </c>
      <c r="B72" s="12"/>
      <c r="C72" s="20"/>
      <c r="D72" s="12"/>
      <c r="E72" s="14"/>
      <c r="F72" s="12"/>
      <c r="G72" s="16"/>
      <c r="H72" s="16"/>
      <c r="I72" s="20"/>
      <c r="J72" s="16"/>
      <c r="K72" s="12"/>
      <c r="L72" s="14"/>
      <c r="M72" s="18"/>
      <c r="N72" s="15"/>
      <c r="O72" s="35"/>
      <c r="AW72" s="6">
        <f ca="1" t="shared" si="3"/>
        <v>44401</v>
      </c>
      <c r="AX72" s="81">
        <f t="shared" si="4"/>
        <v>1</v>
      </c>
      <c r="AY72" s="45">
        <f t="shared" si="5"/>
        <v>1</v>
      </c>
    </row>
    <row r="73" spans="1:51" ht="12.75" customHeight="1">
      <c r="A73" s="14">
        <v>3</v>
      </c>
      <c r="B73" s="12"/>
      <c r="C73" s="20"/>
      <c r="D73" s="12"/>
      <c r="E73" s="14"/>
      <c r="F73" s="12"/>
      <c r="G73" s="16"/>
      <c r="H73" s="16"/>
      <c r="I73" s="20"/>
      <c r="J73" s="16"/>
      <c r="K73" s="12"/>
      <c r="L73" s="14"/>
      <c r="M73" s="18"/>
      <c r="N73" s="15"/>
      <c r="O73" s="35"/>
      <c r="AW73" s="6">
        <f ca="1" t="shared" si="3"/>
        <v>44401</v>
      </c>
      <c r="AX73" s="81">
        <f aca="true" t="shared" si="6" ref="AX73:AX104">IF((H73&lt;=AW73),1,0)</f>
        <v>1</v>
      </c>
      <c r="AY73" s="45">
        <f aca="true" t="shared" si="7" ref="AY73:AY104">IF((J73&lt;=AW73),1,0)</f>
        <v>1</v>
      </c>
    </row>
    <row r="74" spans="2:51" ht="13.5">
      <c r="B74" s="160" t="s">
        <v>46</v>
      </c>
      <c r="C74" s="163">
        <f>COUNT(C71:C73)</f>
        <v>0</v>
      </c>
      <c r="F74" s="23"/>
      <c r="G74" s="23"/>
      <c r="H74" s="23"/>
      <c r="I74" s="23"/>
      <c r="J74" s="23"/>
      <c r="K74" s="23"/>
      <c r="M74" s="39"/>
      <c r="AW74" s="6">
        <f ca="1" t="shared" si="3"/>
        <v>44401</v>
      </c>
      <c r="AX74" s="81">
        <f t="shared" si="6"/>
        <v>1</v>
      </c>
      <c r="AY74" s="45">
        <f t="shared" si="7"/>
        <v>1</v>
      </c>
    </row>
    <row r="75" spans="1:51" ht="9.75" customHeight="1">
      <c r="A75" s="10"/>
      <c r="B75" s="41"/>
      <c r="C75" s="10"/>
      <c r="D75" s="10"/>
      <c r="E75" s="10"/>
      <c r="F75" s="10"/>
      <c r="G75" s="10"/>
      <c r="H75" s="10"/>
      <c r="AW75" s="6">
        <f ca="1" t="shared" si="3"/>
        <v>44401</v>
      </c>
      <c r="AX75" s="81">
        <f t="shared" si="6"/>
        <v>1</v>
      </c>
      <c r="AY75" s="45">
        <f t="shared" si="7"/>
        <v>1</v>
      </c>
    </row>
    <row r="76" spans="1:51" ht="13.5">
      <c r="A76" s="10"/>
      <c r="B76" s="258" t="s">
        <v>233</v>
      </c>
      <c r="C76" s="10"/>
      <c r="D76" s="10"/>
      <c r="E76" s="10"/>
      <c r="F76" s="10"/>
      <c r="G76" s="10"/>
      <c r="H76" s="10"/>
      <c r="AW76" s="6">
        <f aca="true" ca="1" t="shared" si="8" ref="AW76:AW116">TODAY()+20</f>
        <v>44401</v>
      </c>
      <c r="AX76" s="81">
        <f t="shared" si="6"/>
        <v>1</v>
      </c>
      <c r="AY76" s="45">
        <f t="shared" si="7"/>
        <v>1</v>
      </c>
    </row>
    <row r="77" spans="1:51" ht="13.5">
      <c r="A77" s="10"/>
      <c r="B77" s="41"/>
      <c r="C77" s="10"/>
      <c r="D77" s="10"/>
      <c r="E77" s="10"/>
      <c r="F77" s="10"/>
      <c r="G77" s="10"/>
      <c r="H77" s="10"/>
      <c r="AW77" s="6">
        <f ca="1" t="shared" si="8"/>
        <v>44401</v>
      </c>
      <c r="AX77" s="81">
        <f t="shared" si="6"/>
        <v>1</v>
      </c>
      <c r="AY77" s="45">
        <f t="shared" si="7"/>
        <v>1</v>
      </c>
    </row>
    <row r="78" spans="1:51" ht="13.5">
      <c r="A78" s="10"/>
      <c r="B78" s="41" t="s">
        <v>236</v>
      </c>
      <c r="C78" s="10"/>
      <c r="D78" s="10"/>
      <c r="E78" s="10"/>
      <c r="F78" s="10"/>
      <c r="G78" s="10"/>
      <c r="H78" s="10"/>
      <c r="AW78" s="6">
        <f ca="1" t="shared" si="8"/>
        <v>44401</v>
      </c>
      <c r="AX78" s="81">
        <f t="shared" si="6"/>
        <v>1</v>
      </c>
      <c r="AY78" s="45">
        <f t="shared" si="7"/>
        <v>1</v>
      </c>
    </row>
    <row r="79" spans="1:51" ht="13.5">
      <c r="A79" s="10"/>
      <c r="B79" s="41" t="s">
        <v>47</v>
      </c>
      <c r="C79" s="10"/>
      <c r="D79" s="10"/>
      <c r="E79" s="10"/>
      <c r="F79" s="10"/>
      <c r="G79" s="10"/>
      <c r="H79" s="10"/>
      <c r="AW79" s="6">
        <f ca="1" t="shared" si="8"/>
        <v>44401</v>
      </c>
      <c r="AX79" s="81">
        <f t="shared" si="6"/>
        <v>1</v>
      </c>
      <c r="AY79" s="45">
        <f t="shared" si="7"/>
        <v>1</v>
      </c>
    </row>
    <row r="80" spans="1:51" ht="13.5">
      <c r="A80" s="10"/>
      <c r="B80" s="41" t="s">
        <v>48</v>
      </c>
      <c r="C80" s="42" t="str">
        <f>PROPER(Furnizor!AO22)</f>
        <v>Nume Repl Legal Prenume Repl</v>
      </c>
      <c r="D80" s="10"/>
      <c r="E80" s="10"/>
      <c r="F80" s="10"/>
      <c r="G80" s="10"/>
      <c r="H80" s="10"/>
      <c r="AW80" s="6">
        <f ca="1" t="shared" si="8"/>
        <v>44401</v>
      </c>
      <c r="AX80" s="81">
        <f t="shared" si="6"/>
        <v>1</v>
      </c>
      <c r="AY80" s="45">
        <f t="shared" si="7"/>
        <v>1</v>
      </c>
    </row>
    <row r="81" spans="1:51" ht="13.5">
      <c r="A81" s="10"/>
      <c r="B81" s="41" t="s">
        <v>237</v>
      </c>
      <c r="C81" s="10"/>
      <c r="D81" s="10"/>
      <c r="E81" s="10"/>
      <c r="F81" s="10"/>
      <c r="G81" s="10"/>
      <c r="H81" s="10"/>
      <c r="AW81" s="6">
        <f ca="1" t="shared" si="8"/>
        <v>44401</v>
      </c>
      <c r="AX81" s="81">
        <f t="shared" si="6"/>
        <v>1</v>
      </c>
      <c r="AY81" s="45">
        <f t="shared" si="7"/>
        <v>1</v>
      </c>
    </row>
    <row r="82" spans="1:51" ht="13.5">
      <c r="A82" s="10"/>
      <c r="B82" s="41" t="s">
        <v>49</v>
      </c>
      <c r="C82" s="162">
        <f ca="1">TODAY()</f>
        <v>44381</v>
      </c>
      <c r="D82" s="10"/>
      <c r="E82" s="10"/>
      <c r="F82" s="10"/>
      <c r="G82" s="10"/>
      <c r="H82" s="10"/>
      <c r="AW82" s="6">
        <f ca="1" t="shared" si="8"/>
        <v>44401</v>
      </c>
      <c r="AX82" s="81">
        <f t="shared" si="6"/>
        <v>1</v>
      </c>
      <c r="AY82" s="45">
        <f t="shared" si="7"/>
        <v>1</v>
      </c>
    </row>
    <row r="83" spans="1:51" ht="13.5">
      <c r="A83" s="10"/>
      <c r="B83" s="10"/>
      <c r="C83" s="10"/>
      <c r="D83" s="10"/>
      <c r="E83" s="10"/>
      <c r="F83" s="10"/>
      <c r="G83" s="10"/>
      <c r="H83" s="10"/>
      <c r="AW83" s="6">
        <f ca="1" t="shared" si="8"/>
        <v>44401</v>
      </c>
      <c r="AX83" s="81">
        <f t="shared" si="6"/>
        <v>1</v>
      </c>
      <c r="AY83" s="45">
        <f t="shared" si="7"/>
        <v>1</v>
      </c>
    </row>
    <row r="84" spans="1:51" ht="13.5">
      <c r="A84" s="10"/>
      <c r="B84" s="10"/>
      <c r="C84" s="10"/>
      <c r="D84" s="10"/>
      <c r="E84" s="10"/>
      <c r="F84" s="10"/>
      <c r="G84" s="10"/>
      <c r="H84" s="10"/>
      <c r="AW84" s="6">
        <f ca="1" t="shared" si="8"/>
        <v>44401</v>
      </c>
      <c r="AX84" s="81">
        <f t="shared" si="6"/>
        <v>1</v>
      </c>
      <c r="AY84" s="45">
        <f t="shared" si="7"/>
        <v>1</v>
      </c>
    </row>
    <row r="85" spans="49:51" ht="13.5">
      <c r="AW85" s="6">
        <f ca="1" t="shared" si="8"/>
        <v>44401</v>
      </c>
      <c r="AX85" s="81">
        <f t="shared" si="6"/>
        <v>1</v>
      </c>
      <c r="AY85" s="45">
        <f t="shared" si="7"/>
        <v>1</v>
      </c>
    </row>
    <row r="86" spans="49:51" ht="13.5">
      <c r="AW86" s="6">
        <f ca="1" t="shared" si="8"/>
        <v>44401</v>
      </c>
      <c r="AX86" s="81">
        <f t="shared" si="6"/>
        <v>1</v>
      </c>
      <c r="AY86" s="45">
        <f t="shared" si="7"/>
        <v>1</v>
      </c>
    </row>
    <row r="87" spans="49:51" ht="13.5">
      <c r="AW87" s="6">
        <f ca="1" t="shared" si="8"/>
        <v>44401</v>
      </c>
      <c r="AX87" s="81">
        <f t="shared" si="6"/>
        <v>1</v>
      </c>
      <c r="AY87" s="45">
        <f t="shared" si="7"/>
        <v>1</v>
      </c>
    </row>
    <row r="88" spans="49:51" ht="13.5">
      <c r="AW88" s="6">
        <f ca="1" t="shared" si="8"/>
        <v>44401</v>
      </c>
      <c r="AX88" s="81">
        <f t="shared" si="6"/>
        <v>1</v>
      </c>
      <c r="AY88" s="45">
        <f t="shared" si="7"/>
        <v>1</v>
      </c>
    </row>
    <row r="89" spans="49:51" ht="13.5">
      <c r="AW89" s="6">
        <f ca="1" t="shared" si="8"/>
        <v>44401</v>
      </c>
      <c r="AX89" s="81">
        <f t="shared" si="6"/>
        <v>1</v>
      </c>
      <c r="AY89" s="45">
        <f t="shared" si="7"/>
        <v>1</v>
      </c>
    </row>
    <row r="90" spans="49:51" ht="13.5">
      <c r="AW90" s="6">
        <f ca="1" t="shared" si="8"/>
        <v>44401</v>
      </c>
      <c r="AX90" s="81">
        <f t="shared" si="6"/>
        <v>1</v>
      </c>
      <c r="AY90" s="45">
        <f t="shared" si="7"/>
        <v>1</v>
      </c>
    </row>
    <row r="91" spans="49:51" ht="13.5">
      <c r="AW91" s="6">
        <f ca="1" t="shared" si="8"/>
        <v>44401</v>
      </c>
      <c r="AX91" s="81">
        <f t="shared" si="6"/>
        <v>1</v>
      </c>
      <c r="AY91" s="45">
        <f t="shared" si="7"/>
        <v>1</v>
      </c>
    </row>
    <row r="92" spans="49:51" ht="13.5">
      <c r="AW92" s="6">
        <f ca="1" t="shared" si="8"/>
        <v>44401</v>
      </c>
      <c r="AX92" s="81">
        <f t="shared" si="6"/>
        <v>1</v>
      </c>
      <c r="AY92" s="45">
        <f t="shared" si="7"/>
        <v>1</v>
      </c>
    </row>
    <row r="93" spans="49:51" ht="13.5">
      <c r="AW93" s="6">
        <f ca="1" t="shared" si="8"/>
        <v>44401</v>
      </c>
      <c r="AX93" s="81">
        <f t="shared" si="6"/>
        <v>1</v>
      </c>
      <c r="AY93" s="45">
        <f t="shared" si="7"/>
        <v>1</v>
      </c>
    </row>
    <row r="94" spans="49:51" ht="13.5">
      <c r="AW94" s="6">
        <f ca="1" t="shared" si="8"/>
        <v>44401</v>
      </c>
      <c r="AX94" s="81">
        <f t="shared" si="6"/>
        <v>1</v>
      </c>
      <c r="AY94" s="45">
        <f t="shared" si="7"/>
        <v>1</v>
      </c>
    </row>
    <row r="95" spans="49:51" ht="13.5">
      <c r="AW95" s="6">
        <f ca="1" t="shared" si="8"/>
        <v>44401</v>
      </c>
      <c r="AX95" s="81">
        <f t="shared" si="6"/>
        <v>1</v>
      </c>
      <c r="AY95" s="45">
        <f t="shared" si="7"/>
        <v>1</v>
      </c>
    </row>
    <row r="96" spans="49:51" ht="13.5">
      <c r="AW96" s="6">
        <f ca="1" t="shared" si="8"/>
        <v>44401</v>
      </c>
      <c r="AX96" s="81">
        <f t="shared" si="6"/>
        <v>1</v>
      </c>
      <c r="AY96" s="45">
        <f t="shared" si="7"/>
        <v>1</v>
      </c>
    </row>
    <row r="97" spans="49:51" ht="13.5">
      <c r="AW97" s="6">
        <f ca="1" t="shared" si="8"/>
        <v>44401</v>
      </c>
      <c r="AX97" s="81">
        <f t="shared" si="6"/>
        <v>1</v>
      </c>
      <c r="AY97" s="45">
        <f t="shared" si="7"/>
        <v>1</v>
      </c>
    </row>
    <row r="98" spans="49:51" ht="13.5">
      <c r="AW98" s="6">
        <f ca="1" t="shared" si="8"/>
        <v>44401</v>
      </c>
      <c r="AX98" s="81">
        <f t="shared" si="6"/>
        <v>1</v>
      </c>
      <c r="AY98" s="45">
        <f t="shared" si="7"/>
        <v>1</v>
      </c>
    </row>
    <row r="99" spans="49:51" ht="13.5">
      <c r="AW99" s="6">
        <f ca="1" t="shared" si="8"/>
        <v>44401</v>
      </c>
      <c r="AX99" s="81">
        <f t="shared" si="6"/>
        <v>1</v>
      </c>
      <c r="AY99" s="45">
        <f t="shared" si="7"/>
        <v>1</v>
      </c>
    </row>
    <row r="100" spans="49:51" ht="13.5">
      <c r="AW100" s="6">
        <f ca="1" t="shared" si="8"/>
        <v>44401</v>
      </c>
      <c r="AX100" s="81">
        <f t="shared" si="6"/>
        <v>1</v>
      </c>
      <c r="AY100" s="45">
        <f t="shared" si="7"/>
        <v>1</v>
      </c>
    </row>
    <row r="101" spans="49:51" ht="13.5">
      <c r="AW101" s="6">
        <f ca="1" t="shared" si="8"/>
        <v>44401</v>
      </c>
      <c r="AX101" s="81">
        <f t="shared" si="6"/>
        <v>1</v>
      </c>
      <c r="AY101" s="45">
        <f t="shared" si="7"/>
        <v>1</v>
      </c>
    </row>
    <row r="102" spans="49:51" ht="13.5">
      <c r="AW102" s="6">
        <f ca="1" t="shared" si="8"/>
        <v>44401</v>
      </c>
      <c r="AX102" s="81">
        <f t="shared" si="6"/>
        <v>1</v>
      </c>
      <c r="AY102" s="45">
        <f t="shared" si="7"/>
        <v>1</v>
      </c>
    </row>
    <row r="103" spans="49:51" ht="13.5">
      <c r="AW103" s="6">
        <f ca="1" t="shared" si="8"/>
        <v>44401</v>
      </c>
      <c r="AX103" s="81">
        <f t="shared" si="6"/>
        <v>1</v>
      </c>
      <c r="AY103" s="45">
        <f t="shared" si="7"/>
        <v>1</v>
      </c>
    </row>
    <row r="104" spans="49:51" ht="13.5">
      <c r="AW104" s="6">
        <f ca="1" t="shared" si="8"/>
        <v>44401</v>
      </c>
      <c r="AX104" s="81">
        <f t="shared" si="6"/>
        <v>1</v>
      </c>
      <c r="AY104" s="45">
        <f t="shared" si="7"/>
        <v>1</v>
      </c>
    </row>
    <row r="105" spans="49:51" ht="13.5">
      <c r="AW105" s="6">
        <f ca="1" t="shared" si="8"/>
        <v>44401</v>
      </c>
      <c r="AX105" s="81">
        <f aca="true" t="shared" si="9" ref="AX105:AX116">IF((H105&lt;=AW105),1,0)</f>
        <v>1</v>
      </c>
      <c r="AY105" s="45">
        <f aca="true" t="shared" si="10" ref="AY105:AY116">IF((J105&lt;=AW105),1,0)</f>
        <v>1</v>
      </c>
    </row>
    <row r="106" spans="49:51" ht="13.5">
      <c r="AW106" s="6">
        <f ca="1" t="shared" si="8"/>
        <v>44401</v>
      </c>
      <c r="AX106" s="81">
        <f t="shared" si="9"/>
        <v>1</v>
      </c>
      <c r="AY106" s="45">
        <f t="shared" si="10"/>
        <v>1</v>
      </c>
    </row>
    <row r="107" spans="49:51" ht="13.5">
      <c r="AW107" s="6">
        <f ca="1" t="shared" si="8"/>
        <v>44401</v>
      </c>
      <c r="AX107" s="81">
        <f t="shared" si="9"/>
        <v>1</v>
      </c>
      <c r="AY107" s="45">
        <f t="shared" si="10"/>
        <v>1</v>
      </c>
    </row>
    <row r="108" spans="49:51" ht="13.5">
      <c r="AW108" s="6">
        <f ca="1" t="shared" si="8"/>
        <v>44401</v>
      </c>
      <c r="AX108" s="81">
        <f t="shared" si="9"/>
        <v>1</v>
      </c>
      <c r="AY108" s="45">
        <f t="shared" si="10"/>
        <v>1</v>
      </c>
    </row>
    <row r="109" spans="49:51" ht="13.5">
      <c r="AW109" s="6">
        <f ca="1" t="shared" si="8"/>
        <v>44401</v>
      </c>
      <c r="AX109" s="81">
        <f t="shared" si="9"/>
        <v>1</v>
      </c>
      <c r="AY109" s="45">
        <f t="shared" si="10"/>
        <v>1</v>
      </c>
    </row>
    <row r="110" spans="49:51" ht="13.5">
      <c r="AW110" s="6">
        <f ca="1" t="shared" si="8"/>
        <v>44401</v>
      </c>
      <c r="AX110" s="81">
        <f t="shared" si="9"/>
        <v>1</v>
      </c>
      <c r="AY110" s="45">
        <f t="shared" si="10"/>
        <v>1</v>
      </c>
    </row>
    <row r="111" spans="49:51" ht="13.5">
      <c r="AW111" s="6">
        <f ca="1" t="shared" si="8"/>
        <v>44401</v>
      </c>
      <c r="AX111" s="81">
        <f t="shared" si="9"/>
        <v>1</v>
      </c>
      <c r="AY111" s="45">
        <f t="shared" si="10"/>
        <v>1</v>
      </c>
    </row>
    <row r="112" spans="49:51" ht="13.5">
      <c r="AW112" s="6">
        <f ca="1" t="shared" si="8"/>
        <v>44401</v>
      </c>
      <c r="AX112" s="81">
        <f t="shared" si="9"/>
        <v>1</v>
      </c>
      <c r="AY112" s="45">
        <f t="shared" si="10"/>
        <v>1</v>
      </c>
    </row>
    <row r="113" spans="49:51" ht="13.5">
      <c r="AW113" s="6">
        <f ca="1" t="shared" si="8"/>
        <v>44401</v>
      </c>
      <c r="AX113" s="81">
        <f t="shared" si="9"/>
        <v>1</v>
      </c>
      <c r="AY113" s="45">
        <f t="shared" si="10"/>
        <v>1</v>
      </c>
    </row>
    <row r="114" spans="49:51" ht="13.5">
      <c r="AW114" s="6">
        <f ca="1" t="shared" si="8"/>
        <v>44401</v>
      </c>
      <c r="AX114" s="81">
        <f t="shared" si="9"/>
        <v>1</v>
      </c>
      <c r="AY114" s="45">
        <f t="shared" si="10"/>
        <v>1</v>
      </c>
    </row>
    <row r="115" spans="49:51" ht="13.5">
      <c r="AW115" s="6">
        <f ca="1" t="shared" si="8"/>
        <v>44401</v>
      </c>
      <c r="AX115" s="81">
        <f t="shared" si="9"/>
        <v>1</v>
      </c>
      <c r="AY115" s="45">
        <f t="shared" si="10"/>
        <v>1</v>
      </c>
    </row>
    <row r="116" spans="49:51" ht="13.5">
      <c r="AW116" s="6">
        <f ca="1" t="shared" si="8"/>
        <v>44401</v>
      </c>
      <c r="AX116" s="81">
        <f t="shared" si="9"/>
        <v>1</v>
      </c>
      <c r="AY116" s="45">
        <f t="shared" si="10"/>
        <v>1</v>
      </c>
    </row>
  </sheetData>
  <sheetProtection password="DA1A" sheet="1" objects="1" scenarios="1" insertColumns="0" deleteColumns="0" deleteRows="0"/>
  <mergeCells count="60">
    <mergeCell ref="N69:N70"/>
    <mergeCell ref="O69:O70"/>
    <mergeCell ref="N58:N59"/>
    <mergeCell ref="O58:O59"/>
    <mergeCell ref="A69:A70"/>
    <mergeCell ref="B69:B70"/>
    <mergeCell ref="C69:C70"/>
    <mergeCell ref="D69:D70"/>
    <mergeCell ref="E69:H69"/>
    <mergeCell ref="I69:J69"/>
    <mergeCell ref="K69:L69"/>
    <mergeCell ref="M69:M70"/>
    <mergeCell ref="N45:N46"/>
    <mergeCell ref="O45:O46"/>
    <mergeCell ref="A58:A59"/>
    <mergeCell ref="B58:B59"/>
    <mergeCell ref="C58:C59"/>
    <mergeCell ref="D58:D59"/>
    <mergeCell ref="E58:H58"/>
    <mergeCell ref="I58:J58"/>
    <mergeCell ref="K58:L58"/>
    <mergeCell ref="M58:M59"/>
    <mergeCell ref="N36:N37"/>
    <mergeCell ref="O36:O37"/>
    <mergeCell ref="A45:A46"/>
    <mergeCell ref="B45:B46"/>
    <mergeCell ref="C45:C46"/>
    <mergeCell ref="D45:D46"/>
    <mergeCell ref="E45:H45"/>
    <mergeCell ref="I45:J45"/>
    <mergeCell ref="K45:L45"/>
    <mergeCell ref="M45:M46"/>
    <mergeCell ref="K21:L21"/>
    <mergeCell ref="M21:M22"/>
    <mergeCell ref="A36:A37"/>
    <mergeCell ref="B36:B37"/>
    <mergeCell ref="C36:C37"/>
    <mergeCell ref="D36:D37"/>
    <mergeCell ref="E36:H36"/>
    <mergeCell ref="I36:J36"/>
    <mergeCell ref="K36:L36"/>
    <mergeCell ref="M36:M37"/>
    <mergeCell ref="A21:A22"/>
    <mergeCell ref="B21:B22"/>
    <mergeCell ref="C21:C22"/>
    <mergeCell ref="D21:D22"/>
    <mergeCell ref="E21:H21"/>
    <mergeCell ref="I21:J21"/>
    <mergeCell ref="K7:L7"/>
    <mergeCell ref="M7:M8"/>
    <mergeCell ref="N7:N8"/>
    <mergeCell ref="O7:O8"/>
    <mergeCell ref="P7:P8"/>
    <mergeCell ref="Q7:Q8"/>
    <mergeCell ref="A7:A8"/>
    <mergeCell ref="B7:B8"/>
    <mergeCell ref="C7:C8"/>
    <mergeCell ref="D7:D8"/>
    <mergeCell ref="E7:H7"/>
    <mergeCell ref="I7:J7"/>
  </mergeCells>
  <conditionalFormatting sqref="AX9:AX116">
    <cfRule type="cellIs" priority="17" dxfId="16" operator="greaterThan" stopIfTrue="1">
      <formula>0</formula>
    </cfRule>
    <cfRule type="cellIs" priority="18" dxfId="16" operator="greaterThan" stopIfTrue="1">
      <formula>0</formula>
    </cfRule>
    <cfRule type="cellIs" priority="19" dxfId="16" operator="greaterThan" stopIfTrue="1">
      <formula>0</formula>
    </cfRule>
  </conditionalFormatting>
  <conditionalFormatting sqref="H16">
    <cfRule type="expression" priority="22" dxfId="1" stopIfTrue="1">
      <formula>$AX$16&gt;0</formula>
    </cfRule>
  </conditionalFormatting>
  <conditionalFormatting sqref="J16">
    <cfRule type="expression" priority="27" dxfId="1" stopIfTrue="1">
      <formula>$AY$16&gt;0</formula>
    </cfRule>
  </conditionalFormatting>
  <conditionalFormatting sqref="J17">
    <cfRule type="expression" priority="28" dxfId="1" stopIfTrue="1">
      <formula>$AY$17&gt;0</formula>
    </cfRule>
  </conditionalFormatting>
  <conditionalFormatting sqref="H9:H15">
    <cfRule type="cellIs" priority="31" dxfId="1" operator="lessThanOrEqual">
      <formula>$AW$9</formula>
    </cfRule>
  </conditionalFormatting>
  <conditionalFormatting sqref="J9:J15">
    <cfRule type="cellIs" priority="14" dxfId="1" operator="lessThanOrEqual">
      <formula>$AW$9</formula>
    </cfRule>
  </conditionalFormatting>
  <conditionalFormatting sqref="J23:J32">
    <cfRule type="cellIs" priority="12" dxfId="1" operator="lessThanOrEqual">
      <formula>$AW$9</formula>
    </cfRule>
  </conditionalFormatting>
  <conditionalFormatting sqref="H23:H32">
    <cfRule type="cellIs" priority="11" dxfId="1" operator="lessThanOrEqual">
      <formula>$AW$9</formula>
    </cfRule>
  </conditionalFormatting>
  <conditionalFormatting sqref="H38:H41">
    <cfRule type="cellIs" priority="10" dxfId="1" operator="lessThanOrEqual">
      <formula>$AW$9</formula>
    </cfRule>
  </conditionalFormatting>
  <conditionalFormatting sqref="J71:J73">
    <cfRule type="cellIs" priority="1" dxfId="1" operator="lessThanOrEqual">
      <formula>$AW$9</formula>
    </cfRule>
  </conditionalFormatting>
  <conditionalFormatting sqref="J38:J41">
    <cfRule type="cellIs" priority="8" dxfId="1" operator="lessThanOrEqual">
      <formula>$AW$9</formula>
    </cfRule>
  </conditionalFormatting>
  <conditionalFormatting sqref="J47:J54">
    <cfRule type="cellIs" priority="6" dxfId="1" operator="lessThanOrEqual">
      <formula>$AW$9</formula>
    </cfRule>
  </conditionalFormatting>
  <conditionalFormatting sqref="H47:H54">
    <cfRule type="cellIs" priority="5" dxfId="1" operator="lessThanOrEqual">
      <formula>$AW$9</formula>
    </cfRule>
  </conditionalFormatting>
  <conditionalFormatting sqref="H60:H63">
    <cfRule type="cellIs" priority="4" dxfId="1" operator="lessThanOrEqual">
      <formula>$AW$9</formula>
    </cfRule>
  </conditionalFormatting>
  <conditionalFormatting sqref="J60:J63">
    <cfRule type="cellIs" priority="3" dxfId="1" operator="lessThanOrEqual">
      <formula>$AW$9</formula>
    </cfRule>
  </conditionalFormatting>
  <conditionalFormatting sqref="H71:H73">
    <cfRule type="cellIs" priority="2" dxfId="1" operator="lessThanOrEqual">
      <formula>$AW$9</formula>
    </cfRule>
  </conditionalFormatting>
  <dataValidations count="13">
    <dataValidation type="custom" allowBlank="1" showErrorMessage="1" errorTitle="Atentie !!!" error="Numărul de ore zilnic trebuie să fie între 1 şi nr. de ore al normei pt. categoria selectată (vezi nota din dreapta sus)" sqref="M71:M73 M61:M63 M38:M41 M24:M32 M47:M54">
      <formula1>AND(M71&lt;=R71,M71&gt;0)</formula1>
      <formula2>0</formula2>
    </dataValidation>
    <dataValidation allowBlank="1" showErrorMessage="1" errorTitle="Atentie !!!" error="Numărul de ore zilnic trebuie să fie între 1 şi nr. de ore al normei pt. categoria selectată" sqref="M23 M11:M15 M9:M10">
      <formula1>0</formula1>
      <formula2>0</formula2>
    </dataValidation>
    <dataValidation type="custom" allowBlank="1" showErrorMessage="1" errorTitle="Atenţie !!!" error="Lungimea parafei este incorectă" sqref="N38:N41 N47:N54 N60:N63 N71:N73 N9:N15">
      <formula1>OR(TRIM(N38)="#",AND(LEN(TRIM(N38))&gt;3,LEN(TRIM(N38))&lt;7))</formula1>
      <formula2>0</formula2>
    </dataValidation>
    <dataValidation type="date" allowBlank="1" showErrorMessage="1" errorTitle="Atentie !!!" error="Data eliberare incorectă" sqref="G71:G73 G23:G32 G38:G41 G47:G54 G60:G63">
      <formula1>DATE(2018,1,1)</formula1>
      <formula2>DATE(2022,12,31)</formula2>
    </dataValidation>
    <dataValidation type="date" operator="greaterThan" allowBlank="1" showErrorMessage="1" errorTitle="Atenţie !!!" error="Expiră înaintea contractării" sqref="J16">
      <formula1>DATE(2019,3,1)</formula1>
    </dataValidation>
    <dataValidation type="date" allowBlank="1" showErrorMessage="1" sqref="G9:G15">
      <formula1>DATE(2018,1,1)</formula1>
      <formula2>DATE(2022,12,31)</formula2>
    </dataValidation>
    <dataValidation type="list" allowBlank="1" showErrorMessage="1" sqref="O38:O41 O47:O54 O60:O63 O71:O73">
      <formula1>"Fara_Grad,Specialist,Principal"</formula1>
      <formula2>0</formula2>
    </dataValidation>
    <dataValidation allowBlank="1" showErrorMessage="1" sqref="O16:O20"/>
    <dataValidation type="list" allowBlank="1" showErrorMessage="1" sqref="Q9:Q20">
      <formula1>"Specialist,Primar"</formula1>
      <formula2>0</formula2>
    </dataValidation>
    <dataValidation type="whole" allowBlank="1" showInputMessage="1" showErrorMessage="1" errorTitle="Atenţie " error="Verificaţi CNP-ul" sqref="C9">
      <formula1>1010101010011</formula1>
      <formula2>8991231999999</formula2>
    </dataValidation>
    <dataValidation type="list" allowBlank="1" showErrorMessage="1" sqref="L9:L15 L23:L32 L38:L41 L47:L54 L60:L63 L71:L73">
      <formula1>"CIM,PFA,PFI"</formula1>
    </dataValidation>
    <dataValidation type="date" operator="greaterThan" allowBlank="1" showInputMessage="1" showErrorMessage="1" sqref="H9:H15 H71:H73 J9:J15 J23:J32 H23:H32 H38:H41 J47:J54 J38:J41 H47:H54 H60:H63 J60:J63 J71:J73">
      <formula1>DATE(2021,1,1)</formula1>
    </dataValidation>
    <dataValidation type="list" allowBlank="1" showErrorMessage="1" sqref="O9:P15">
      <formula1>"Medicina de laborator,Anatomopatologie,Microbiologie"</formula1>
    </dataValidation>
  </dataValidations>
  <printOptions horizontalCentered="1"/>
  <pageMargins left="0.1968503937007874" right="0.1968503937007874" top="0.7480314960629921" bottom="0.7480314960629921" header="0.5118110236220472" footer="0.5118110236220472"/>
  <pageSetup horizontalDpi="300" verticalDpi="300" orientation="landscape" paperSize="9" scale="72" r:id="rId3"/>
  <rowBreaks count="1" manualBreakCount="1">
    <brk id="42" max="255" man="1"/>
  </rowBreaks>
  <ignoredErrors>
    <ignoredError sqref="K12:K15" numberStoredAsText="1"/>
  </ignoredErrors>
  <legacyDrawing r:id="rId2"/>
</worksheet>
</file>

<file path=xl/worksheets/sheet6.xml><?xml version="1.0" encoding="utf-8"?>
<worksheet xmlns="http://schemas.openxmlformats.org/spreadsheetml/2006/main" xmlns:r="http://schemas.openxmlformats.org/officeDocument/2006/relationships">
  <sheetPr>
    <tabColor rgb="FFFFFF99"/>
  </sheetPr>
  <dimension ref="B2:K41"/>
  <sheetViews>
    <sheetView zoomScalePageLayoutView="0" workbookViewId="0" topLeftCell="A7">
      <selection activeCell="B38" sqref="B38"/>
    </sheetView>
  </sheetViews>
  <sheetFormatPr defaultColWidth="9.140625" defaultRowHeight="12.75"/>
  <cols>
    <col min="1" max="1" width="4.28125" style="0" customWidth="1"/>
    <col min="2" max="2" width="16.28125" style="0" customWidth="1"/>
    <col min="3" max="3" width="22.421875" style="0" customWidth="1"/>
    <col min="4" max="4" width="10.28125" style="0" customWidth="1"/>
    <col min="11" max="11" width="12.57421875" style="0" customWidth="1"/>
    <col min="12" max="12" width="19.8515625" style="0" customWidth="1"/>
  </cols>
  <sheetData>
    <row r="2" spans="2:11" ht="13.5">
      <c r="B2" s="174" t="s">
        <v>192</v>
      </c>
      <c r="C2" s="180" t="str">
        <f>PROPER(Furnizor!B2)</f>
        <v>Sc Furnizor Anatomie Patologica Srl</v>
      </c>
      <c r="K2" s="176" t="s">
        <v>194</v>
      </c>
    </row>
    <row r="3" ht="12" customHeight="1">
      <c r="B3" s="175"/>
    </row>
    <row r="4" spans="2:4" s="177" customFormat="1" ht="13.5">
      <c r="B4" s="178" t="s">
        <v>193</v>
      </c>
      <c r="D4" s="181" t="str">
        <f>PROPER(Furnizor!AO6)</f>
        <v>Loc.Constanta Str.Nume Strada Sediu Social Nr.1A</v>
      </c>
    </row>
    <row r="5" ht="12" customHeight="1">
      <c r="B5" s="174"/>
    </row>
    <row r="6" spans="2:3" ht="13.5">
      <c r="B6" s="174" t="s">
        <v>191</v>
      </c>
      <c r="C6" s="179" t="str">
        <f>PROPER(Furnizor!AO29)</f>
        <v>Loc.Constanta Str.Nume Strada Punct De Lucru Nr.1 </v>
      </c>
    </row>
    <row r="7" ht="15">
      <c r="B7" s="130"/>
    </row>
    <row r="8" spans="2:5" ht="15">
      <c r="B8" s="130"/>
      <c r="E8" s="131" t="s">
        <v>122</v>
      </c>
    </row>
    <row r="9" spans="2:4" ht="15">
      <c r="B9" s="130"/>
      <c r="D9" s="132"/>
    </row>
    <row r="10" spans="2:5" s="166" customFormat="1" ht="15">
      <c r="B10" s="172" t="s">
        <v>188</v>
      </c>
      <c r="C10" s="173" t="str">
        <f>PROPER(Furnizor!AO22)</f>
        <v>Nume Repl Legal Prenume Repl</v>
      </c>
      <c r="E10" s="262" t="s">
        <v>199</v>
      </c>
    </row>
    <row r="11" s="166" customFormat="1" ht="15">
      <c r="B11" s="167" t="s">
        <v>187</v>
      </c>
    </row>
    <row r="12" s="166" customFormat="1" ht="15">
      <c r="B12" s="168" t="s">
        <v>126</v>
      </c>
    </row>
    <row r="13" s="166" customFormat="1" ht="12" customHeight="1" thickBot="1">
      <c r="B13" s="167"/>
    </row>
    <row r="14" spans="2:11" ht="12.75" customHeight="1">
      <c r="B14" s="383" t="s">
        <v>128</v>
      </c>
      <c r="C14" s="383" t="s">
        <v>116</v>
      </c>
      <c r="D14" s="387" t="s">
        <v>117</v>
      </c>
      <c r="E14" s="388"/>
      <c r="F14" s="388"/>
      <c r="G14" s="388"/>
      <c r="H14" s="388"/>
      <c r="I14" s="388"/>
      <c r="J14" s="388"/>
      <c r="K14" s="389"/>
    </row>
    <row r="15" spans="2:11" ht="13.5" thickBot="1">
      <c r="B15" s="375"/>
      <c r="C15" s="375"/>
      <c r="D15" s="390"/>
      <c r="E15" s="391"/>
      <c r="F15" s="391"/>
      <c r="G15" s="391"/>
      <c r="H15" s="391"/>
      <c r="I15" s="391"/>
      <c r="J15" s="391"/>
      <c r="K15" s="392"/>
    </row>
    <row r="16" spans="2:11" ht="12.75">
      <c r="B16" s="375"/>
      <c r="C16" s="375"/>
      <c r="D16" s="375" t="s">
        <v>88</v>
      </c>
      <c r="E16" s="375" t="s">
        <v>118</v>
      </c>
      <c r="F16" s="375" t="s">
        <v>89</v>
      </c>
      <c r="G16" s="375" t="s">
        <v>90</v>
      </c>
      <c r="H16" s="375" t="s">
        <v>91</v>
      </c>
      <c r="I16" s="375" t="s">
        <v>119</v>
      </c>
      <c r="J16" s="375" t="s">
        <v>120</v>
      </c>
      <c r="K16" s="375" t="s">
        <v>127</v>
      </c>
    </row>
    <row r="17" spans="2:11" ht="12.75">
      <c r="B17" s="375"/>
      <c r="C17" s="375"/>
      <c r="D17" s="375"/>
      <c r="E17" s="375"/>
      <c r="F17" s="375"/>
      <c r="G17" s="375"/>
      <c r="H17" s="375"/>
      <c r="I17" s="375"/>
      <c r="J17" s="375"/>
      <c r="K17" s="375"/>
    </row>
    <row r="18" spans="2:11" ht="13.5" thickBot="1">
      <c r="B18" s="376"/>
      <c r="C18" s="376"/>
      <c r="D18" s="376"/>
      <c r="E18" s="376"/>
      <c r="F18" s="376"/>
      <c r="G18" s="376"/>
      <c r="H18" s="376"/>
      <c r="I18" s="376"/>
      <c r="J18" s="376"/>
      <c r="K18" s="376"/>
    </row>
    <row r="19" spans="2:11" ht="12.75">
      <c r="B19" s="383" t="s">
        <v>129</v>
      </c>
      <c r="C19" s="393" t="str">
        <f>CONCATENATE(Furnizor!AO6," ",Furnizor!AO8)</f>
        <v>Loc.Constanta Str.Nume Strada Sediu Social Nr.1A Tel:0241/XXXXXX Fax0241/XXXXXX E-mail societate@email.ro</v>
      </c>
      <c r="D19" s="377"/>
      <c r="E19" s="377"/>
      <c r="F19" s="377"/>
      <c r="G19" s="377"/>
      <c r="H19" s="377"/>
      <c r="I19" s="377"/>
      <c r="J19" s="377"/>
      <c r="K19" s="377"/>
    </row>
    <row r="20" spans="2:11" ht="12.75">
      <c r="B20" s="375"/>
      <c r="C20" s="394"/>
      <c r="D20" s="378"/>
      <c r="E20" s="378"/>
      <c r="F20" s="378"/>
      <c r="G20" s="378"/>
      <c r="H20" s="378"/>
      <c r="I20" s="378"/>
      <c r="J20" s="378"/>
      <c r="K20" s="378"/>
    </row>
    <row r="21" spans="2:11" ht="12.75">
      <c r="B21" s="375"/>
      <c r="C21" s="394"/>
      <c r="D21" s="378"/>
      <c r="E21" s="378"/>
      <c r="F21" s="378"/>
      <c r="G21" s="378"/>
      <c r="H21" s="378"/>
      <c r="I21" s="378"/>
      <c r="J21" s="378"/>
      <c r="K21" s="378"/>
    </row>
    <row r="22" spans="2:11" ht="12.75">
      <c r="B22" s="375"/>
      <c r="C22" s="394"/>
      <c r="D22" s="378"/>
      <c r="E22" s="378"/>
      <c r="F22" s="378"/>
      <c r="G22" s="378"/>
      <c r="H22" s="378"/>
      <c r="I22" s="378"/>
      <c r="J22" s="378"/>
      <c r="K22" s="378"/>
    </row>
    <row r="23" spans="2:11" ht="13.5" thickBot="1">
      <c r="B23" s="376"/>
      <c r="C23" s="395"/>
      <c r="D23" s="379"/>
      <c r="E23" s="379"/>
      <c r="F23" s="379"/>
      <c r="G23" s="379"/>
      <c r="H23" s="379"/>
      <c r="I23" s="379"/>
      <c r="J23" s="379"/>
      <c r="K23" s="379"/>
    </row>
    <row r="24" spans="2:11" ht="12.75">
      <c r="B24" s="383" t="s">
        <v>132</v>
      </c>
      <c r="C24" s="393" t="str">
        <f>CONCATENATE(Furnizor!AO29," ",Furnizor!AO37)</f>
        <v>Loc.Constanta Str.nume strada punct de lucru Nr.1  Tel:0241/XXXXXX Fax0241/XXXXXX E-mail email@pct_lucru_daca_are.ro</v>
      </c>
      <c r="D24" s="377" t="s">
        <v>186</v>
      </c>
      <c r="E24" s="377" t="s">
        <v>186</v>
      </c>
      <c r="F24" s="377" t="s">
        <v>186</v>
      </c>
      <c r="G24" s="377" t="s">
        <v>186</v>
      </c>
      <c r="H24" s="377" t="s">
        <v>186</v>
      </c>
      <c r="I24" s="380" t="s">
        <v>59</v>
      </c>
      <c r="J24" s="380" t="s">
        <v>59</v>
      </c>
      <c r="K24" s="380" t="s">
        <v>59</v>
      </c>
    </row>
    <row r="25" spans="2:11" ht="12.75">
      <c r="B25" s="375"/>
      <c r="C25" s="394"/>
      <c r="D25" s="378"/>
      <c r="E25" s="378"/>
      <c r="F25" s="378"/>
      <c r="G25" s="378"/>
      <c r="H25" s="378"/>
      <c r="I25" s="381"/>
      <c r="J25" s="381"/>
      <c r="K25" s="381"/>
    </row>
    <row r="26" spans="2:11" ht="12.75">
      <c r="B26" s="375"/>
      <c r="C26" s="394"/>
      <c r="D26" s="378"/>
      <c r="E26" s="378"/>
      <c r="F26" s="378"/>
      <c r="G26" s="378"/>
      <c r="H26" s="378"/>
      <c r="I26" s="381"/>
      <c r="J26" s="381"/>
      <c r="K26" s="381"/>
    </row>
    <row r="27" spans="2:11" ht="12.75">
      <c r="B27" s="375"/>
      <c r="C27" s="394"/>
      <c r="D27" s="378"/>
      <c r="E27" s="378"/>
      <c r="F27" s="378"/>
      <c r="G27" s="378"/>
      <c r="H27" s="378"/>
      <c r="I27" s="381"/>
      <c r="J27" s="381"/>
      <c r="K27" s="381"/>
    </row>
    <row r="28" spans="2:11" ht="12.75">
      <c r="B28" s="375"/>
      <c r="C28" s="394"/>
      <c r="D28" s="378"/>
      <c r="E28" s="378"/>
      <c r="F28" s="378"/>
      <c r="G28" s="378"/>
      <c r="H28" s="378"/>
      <c r="I28" s="381"/>
      <c r="J28" s="381"/>
      <c r="K28" s="381"/>
    </row>
    <row r="29" spans="2:11" ht="13.5" thickBot="1">
      <c r="B29" s="376"/>
      <c r="C29" s="395"/>
      <c r="D29" s="379"/>
      <c r="E29" s="379"/>
      <c r="F29" s="379"/>
      <c r="G29" s="379"/>
      <c r="H29" s="379"/>
      <c r="I29" s="382"/>
      <c r="J29" s="382"/>
      <c r="K29" s="382"/>
    </row>
    <row r="30" spans="2:11" ht="13.5">
      <c r="B30" s="219"/>
      <c r="C30" s="384"/>
      <c r="D30" s="377"/>
      <c r="E30" s="377"/>
      <c r="F30" s="377"/>
      <c r="G30" s="377"/>
      <c r="H30" s="377"/>
      <c r="I30" s="377"/>
      <c r="J30" s="377"/>
      <c r="K30" s="377"/>
    </row>
    <row r="31" spans="2:11" ht="13.5">
      <c r="B31" s="220" t="s">
        <v>121</v>
      </c>
      <c r="C31" s="385"/>
      <c r="D31" s="378"/>
      <c r="E31" s="378"/>
      <c r="F31" s="378"/>
      <c r="G31" s="378"/>
      <c r="H31" s="378"/>
      <c r="I31" s="378"/>
      <c r="J31" s="378"/>
      <c r="K31" s="378"/>
    </row>
    <row r="32" spans="2:11" ht="14.25" thickBot="1">
      <c r="B32" s="221"/>
      <c r="C32" s="386"/>
      <c r="D32" s="379"/>
      <c r="E32" s="379"/>
      <c r="F32" s="379"/>
      <c r="G32" s="379"/>
      <c r="H32" s="379"/>
      <c r="I32" s="379"/>
      <c r="J32" s="379"/>
      <c r="K32" s="379"/>
    </row>
    <row r="34" ht="15">
      <c r="B34" s="130" t="s">
        <v>130</v>
      </c>
    </row>
    <row r="35" ht="15">
      <c r="B35" s="130" t="s">
        <v>131</v>
      </c>
    </row>
    <row r="36" ht="15">
      <c r="B36" s="130" t="s">
        <v>123</v>
      </c>
    </row>
    <row r="38" spans="2:7" ht="15">
      <c r="B38" s="133" t="s">
        <v>85</v>
      </c>
      <c r="G38" t="s">
        <v>124</v>
      </c>
    </row>
    <row r="39" spans="2:7" ht="12.75">
      <c r="B39" s="170">
        <f ca="1">TODAY()</f>
        <v>44381</v>
      </c>
      <c r="G39" s="169" t="str">
        <f>Furnizor!AO22</f>
        <v>Nume Repl Legal Prenume Repl</v>
      </c>
    </row>
    <row r="41" ht="12.75">
      <c r="G41" t="s">
        <v>237</v>
      </c>
    </row>
  </sheetData>
  <sheetProtection password="DA1A" sheet="1" objects="1" scenarios="1" insertColumns="0" deleteColumns="0" deleteRows="0"/>
  <mergeCells count="40">
    <mergeCell ref="K16:K18"/>
    <mergeCell ref="D14:K15"/>
    <mergeCell ref="J19:J23"/>
    <mergeCell ref="K19:K23"/>
    <mergeCell ref="C24:C29"/>
    <mergeCell ref="D24:D29"/>
    <mergeCell ref="E24:E29"/>
    <mergeCell ref="F24:F29"/>
    <mergeCell ref="G24:G29"/>
    <mergeCell ref="C19:C23"/>
    <mergeCell ref="I30:I32"/>
    <mergeCell ref="H19:H23"/>
    <mergeCell ref="I19:I23"/>
    <mergeCell ref="F19:F23"/>
    <mergeCell ref="G19:G23"/>
    <mergeCell ref="C14:C18"/>
    <mergeCell ref="I16:I18"/>
    <mergeCell ref="D19:D23"/>
    <mergeCell ref="E19:E23"/>
    <mergeCell ref="E30:E32"/>
    <mergeCell ref="B14:B18"/>
    <mergeCell ref="B24:B29"/>
    <mergeCell ref="B19:B23"/>
    <mergeCell ref="C30:C32"/>
    <mergeCell ref="D30:D32"/>
    <mergeCell ref="H16:H18"/>
    <mergeCell ref="H24:H29"/>
    <mergeCell ref="F30:F32"/>
    <mergeCell ref="G30:G32"/>
    <mergeCell ref="H30:H32"/>
    <mergeCell ref="J16:J18"/>
    <mergeCell ref="J30:J32"/>
    <mergeCell ref="K30:K32"/>
    <mergeCell ref="D16:D18"/>
    <mergeCell ref="E16:E18"/>
    <mergeCell ref="F16:F18"/>
    <mergeCell ref="G16:G18"/>
    <mergeCell ref="I24:I29"/>
    <mergeCell ref="J24:J29"/>
    <mergeCell ref="K24:K29"/>
  </mergeCells>
  <printOptions horizontalCentered="1"/>
  <pageMargins left="0.1968503937007874" right="0.1968503937007874" top="0.3937007874015748" bottom="0.1968503937007874" header="0.31496062992125984" footer="0.31496062992125984"/>
  <pageSetup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2:I15"/>
  <sheetViews>
    <sheetView zoomScalePageLayoutView="0" workbookViewId="0" topLeftCell="A1">
      <selection activeCell="E15" sqref="E15"/>
    </sheetView>
  </sheetViews>
  <sheetFormatPr defaultColWidth="9.140625" defaultRowHeight="12.75"/>
  <cols>
    <col min="1" max="1" width="2.8515625" style="129" customWidth="1"/>
    <col min="2" max="2" width="15.140625" style="129" customWidth="1"/>
    <col min="3" max="3" width="13.7109375" style="129" customWidth="1"/>
    <col min="4" max="4" width="8.8515625" style="129" customWidth="1"/>
    <col min="5" max="5" width="10.421875" style="129" customWidth="1"/>
    <col min="6" max="6" width="9.8515625" style="129" customWidth="1"/>
    <col min="7" max="7" width="12.140625" style="129" customWidth="1"/>
    <col min="8" max="8" width="8.7109375" style="129" customWidth="1"/>
    <col min="9" max="9" width="10.140625" style="129" customWidth="1"/>
    <col min="10" max="16384" width="9.140625" style="129" customWidth="1"/>
  </cols>
  <sheetData>
    <row r="2" spans="2:6" ht="13.5">
      <c r="B2" s="396" t="s">
        <v>50</v>
      </c>
      <c r="C2" s="396"/>
      <c r="D2" s="182" t="str">
        <f>PROPER(Furnizor!B2)</f>
        <v>Sc Furnizor Anatomie Patologica Srl</v>
      </c>
      <c r="E2" s="247"/>
      <c r="F2" s="247"/>
    </row>
    <row r="3" spans="2:6" ht="13.5">
      <c r="B3" s="244"/>
      <c r="C3" s="182"/>
      <c r="D3" s="247"/>
      <c r="E3" s="247"/>
      <c r="F3" s="247"/>
    </row>
    <row r="4" spans="2:9" ht="13.5">
      <c r="B4" s="68" t="s">
        <v>51</v>
      </c>
      <c r="C4" s="154" t="str">
        <f>PROPER(Furnizor!AO29)</f>
        <v>Loc.Constanta Str.Nume Strada Punct De Lucru Nr.1 </v>
      </c>
      <c r="D4" s="247"/>
      <c r="E4" s="247"/>
      <c r="F4" s="247"/>
      <c r="I4" s="142" t="s">
        <v>85</v>
      </c>
    </row>
    <row r="5" spans="2:9" ht="13.5">
      <c r="B5" s="68" t="s">
        <v>52</v>
      </c>
      <c r="C5" s="229" t="str">
        <f>PROPER(Furnizor!C4)</f>
        <v>Lxxx</v>
      </c>
      <c r="D5" s="247"/>
      <c r="E5" s="247"/>
      <c r="F5" s="247"/>
      <c r="I5" s="264">
        <v>44377</v>
      </c>
    </row>
    <row r="6" spans="2:6" ht="13.5">
      <c r="B6" s="245" t="s">
        <v>86</v>
      </c>
      <c r="C6" s="154" t="str">
        <f>PROPER(Furnizor!C5)</f>
        <v>2222222</v>
      </c>
      <c r="D6" s="247"/>
      <c r="E6" s="247"/>
      <c r="F6" s="247"/>
    </row>
    <row r="7" spans="1:9" s="139" customFormat="1" ht="41.25">
      <c r="A7" s="235" t="s">
        <v>53</v>
      </c>
      <c r="B7" s="233" t="s">
        <v>218</v>
      </c>
      <c r="C7" s="233" t="s">
        <v>219</v>
      </c>
      <c r="D7" s="233" t="s">
        <v>217</v>
      </c>
      <c r="E7" s="249" t="s">
        <v>220</v>
      </c>
      <c r="F7" s="233" t="s">
        <v>223</v>
      </c>
      <c r="G7" s="233" t="s">
        <v>222</v>
      </c>
      <c r="H7" s="249" t="s">
        <v>221</v>
      </c>
      <c r="I7" s="249" t="s">
        <v>67</v>
      </c>
    </row>
    <row r="8" spans="1:9" ht="13.5">
      <c r="A8" s="234">
        <v>1</v>
      </c>
      <c r="B8" s="250">
        <f>'Resurse Umane'!J24</f>
        <v>151.66666666666669</v>
      </c>
      <c r="C8" s="250">
        <f>'Resurse Tehnice'!I34</f>
        <v>25</v>
      </c>
      <c r="D8" s="251">
        <f>Logistica!E13</f>
        <v>5</v>
      </c>
      <c r="E8" s="263">
        <f>B8+C8+D8</f>
        <v>181.66666666666669</v>
      </c>
      <c r="F8" s="251" t="e">
        <f>#REF!</f>
        <v>#REF!</v>
      </c>
      <c r="G8" s="250" t="e">
        <f>#REF!</f>
        <v>#REF!</v>
      </c>
      <c r="H8" s="263" t="e">
        <f>F8+G8</f>
        <v>#REF!</v>
      </c>
      <c r="I8" s="250" t="e">
        <f>E8+H8</f>
        <v>#REF!</v>
      </c>
    </row>
    <row r="10" ht="13.5">
      <c r="B10" s="253" t="s">
        <v>234</v>
      </c>
    </row>
    <row r="11" ht="13.5">
      <c r="B11" s="253" t="s">
        <v>235</v>
      </c>
    </row>
    <row r="13" ht="13.5">
      <c r="E13" s="129" t="s">
        <v>124</v>
      </c>
    </row>
    <row r="15" ht="13.5">
      <c r="E15" s="129" t="s">
        <v>125</v>
      </c>
    </row>
  </sheetData>
  <sheetProtection password="DA1A" sheet="1" formatCells="0" formatColumns="0" formatRows="0" insertColumns="0" insertRows="0" insertHyperlinks="0" deleteColumns="0" deleteRows="0" sort="0" autoFilter="0" pivotTables="0"/>
  <mergeCells count="1">
    <mergeCell ref="B2:C2"/>
  </mergeCells>
  <printOptions horizontalCentered="1"/>
  <pageMargins left="0.1968503937007874" right="0.1968503937007874"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9"/>
  <sheetViews>
    <sheetView zoomScalePageLayoutView="0" workbookViewId="0" topLeftCell="A1">
      <selection activeCell="K16" sqref="K16"/>
    </sheetView>
  </sheetViews>
  <sheetFormatPr defaultColWidth="9.140625" defaultRowHeight="12.75"/>
  <cols>
    <col min="1" max="1" width="19.00390625" style="78" bestFit="1" customWidth="1"/>
    <col min="2" max="5" width="9.140625" style="78" customWidth="1"/>
    <col min="6" max="6" width="9.8515625" style="78" bestFit="1" customWidth="1"/>
    <col min="7" max="10" width="9.140625" style="78" customWidth="1"/>
    <col min="11" max="11" width="13.140625" style="78" bestFit="1" customWidth="1"/>
    <col min="12" max="12" width="15.421875" style="78" bestFit="1" customWidth="1"/>
    <col min="13" max="16384" width="9.140625" style="78" customWidth="1"/>
  </cols>
  <sheetData>
    <row r="1" spans="1:13" ht="12.75">
      <c r="A1" s="78" t="s">
        <v>64</v>
      </c>
      <c r="B1" s="78" t="s">
        <v>65</v>
      </c>
      <c r="C1" s="78" t="s">
        <v>65</v>
      </c>
      <c r="D1" s="78" t="s">
        <v>65</v>
      </c>
      <c r="E1" s="78" t="s">
        <v>65</v>
      </c>
      <c r="F1" s="78" t="s">
        <v>57</v>
      </c>
      <c r="K1" s="78" t="s">
        <v>60</v>
      </c>
      <c r="L1" s="78" t="s">
        <v>56</v>
      </c>
      <c r="M1" s="78">
        <v>3.5</v>
      </c>
    </row>
    <row r="2" spans="1:13" ht="12.75">
      <c r="A2" s="78" t="s">
        <v>99</v>
      </c>
      <c r="B2" s="78" t="s">
        <v>92</v>
      </c>
      <c r="C2" s="78" t="s">
        <v>100</v>
      </c>
      <c r="D2" s="78" t="s">
        <v>100</v>
      </c>
      <c r="E2" s="78" t="s">
        <v>100</v>
      </c>
      <c r="F2" s="78" t="s">
        <v>102</v>
      </c>
      <c r="K2" s="78" t="s">
        <v>69</v>
      </c>
      <c r="L2" s="78" t="s">
        <v>109</v>
      </c>
      <c r="M2" s="78">
        <v>7</v>
      </c>
    </row>
    <row r="3" spans="1:13" ht="12.75">
      <c r="A3" s="78" t="s">
        <v>101</v>
      </c>
      <c r="C3" s="78" t="s">
        <v>108</v>
      </c>
      <c r="D3" s="78" t="s">
        <v>108</v>
      </c>
      <c r="E3" s="78" t="s">
        <v>108</v>
      </c>
      <c r="K3" s="78" t="s">
        <v>61</v>
      </c>
      <c r="L3" s="78" t="s">
        <v>60</v>
      </c>
      <c r="M3" s="78">
        <v>8</v>
      </c>
    </row>
    <row r="4" spans="1:12" ht="12.75">
      <c r="A4" s="78" t="s">
        <v>104</v>
      </c>
      <c r="K4" s="78" t="s">
        <v>62</v>
      </c>
      <c r="L4" s="78" t="s">
        <v>69</v>
      </c>
    </row>
    <row r="5" spans="1:12" ht="12.75">
      <c r="A5" s="78" t="s">
        <v>94</v>
      </c>
      <c r="K5" s="78" t="s">
        <v>107</v>
      </c>
      <c r="L5" s="78" t="s">
        <v>61</v>
      </c>
    </row>
    <row r="6" spans="1:12" ht="12.75">
      <c r="A6" s="78" t="s">
        <v>106</v>
      </c>
      <c r="L6" s="78" t="s">
        <v>62</v>
      </c>
    </row>
    <row r="7" ht="12.75">
      <c r="A7" s="78" t="s">
        <v>93</v>
      </c>
    </row>
    <row r="8" ht="12.75">
      <c r="A8" s="78" t="s">
        <v>105</v>
      </c>
    </row>
    <row r="9" ht="12.75">
      <c r="A9" s="78" t="s">
        <v>103</v>
      </c>
    </row>
  </sheetData>
  <sheetProtection password="DA1A"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3" tint="0.7999799847602844"/>
  </sheetPr>
  <dimension ref="A2:F24"/>
  <sheetViews>
    <sheetView zoomScalePageLayoutView="0" workbookViewId="0" topLeftCell="A1">
      <selection activeCell="E29" sqref="E29"/>
    </sheetView>
  </sheetViews>
  <sheetFormatPr defaultColWidth="9.00390625" defaultRowHeight="12.75"/>
  <cols>
    <col min="1" max="1" width="10.421875" style="50" customWidth="1"/>
    <col min="2" max="2" width="8.421875" style="50" bestFit="1" customWidth="1"/>
    <col min="3" max="3" width="49.57421875" style="49" customWidth="1"/>
    <col min="4" max="4" width="8.421875" style="278" customWidth="1"/>
    <col min="5" max="6" width="9.421875" style="49" customWidth="1"/>
    <col min="7" max="16384" width="9.00390625" style="49" customWidth="1"/>
  </cols>
  <sheetData>
    <row r="2" spans="1:2" ht="13.5">
      <c r="A2" s="303" t="s">
        <v>275</v>
      </c>
      <c r="B2" s="303"/>
    </row>
    <row r="4" spans="1:5" s="325" customFormat="1" ht="25.5" customHeight="1">
      <c r="A4" s="350" t="s">
        <v>50</v>
      </c>
      <c r="B4" s="350"/>
      <c r="C4" s="397" t="str">
        <f>Furnizor!B2</f>
        <v>SC FURNIZOR ANATOMIE PATOLOGICA SRL</v>
      </c>
      <c r="D4" s="397"/>
      <c r="E4" s="397"/>
    </row>
    <row r="5" spans="1:5" s="325" customFormat="1" ht="18" customHeight="1">
      <c r="A5" s="63" t="s">
        <v>276</v>
      </c>
      <c r="B5" s="397" t="str">
        <f>Furnizor!AO6</f>
        <v>Loc.Constanta Str.Nume Strada Sediu Social Nr.1A</v>
      </c>
      <c r="C5" s="397"/>
      <c r="D5" s="326"/>
      <c r="E5" s="327" t="s">
        <v>296</v>
      </c>
    </row>
    <row r="6" spans="1:5" s="325" customFormat="1" ht="17.25" customHeight="1">
      <c r="A6" s="63" t="s">
        <v>51</v>
      </c>
      <c r="B6" s="398" t="str">
        <f>Furnizor!AO29</f>
        <v>Loc.Constanta Str.nume strada punct de lucru Nr.1 </v>
      </c>
      <c r="C6" s="398"/>
      <c r="D6" s="304"/>
      <c r="E6" s="322">
        <f ca="1">TODAY()</f>
        <v>44381</v>
      </c>
    </row>
    <row r="7" spans="1:5" s="325" customFormat="1" ht="15.75" customHeight="1">
      <c r="A7" s="63" t="s">
        <v>52</v>
      </c>
      <c r="B7" s="328" t="str">
        <f>Furnizor!C4</f>
        <v>LXXX</v>
      </c>
      <c r="C7" s="324"/>
      <c r="D7" s="304"/>
      <c r="E7" s="326"/>
    </row>
    <row r="8" ht="19.5" customHeight="1" thickBot="1">
      <c r="C8" s="305" t="s">
        <v>299</v>
      </c>
    </row>
    <row r="9" spans="1:6" ht="52.5">
      <c r="A9" s="306" t="s">
        <v>277</v>
      </c>
      <c r="B9" s="306" t="s">
        <v>278</v>
      </c>
      <c r="C9" s="306" t="s">
        <v>279</v>
      </c>
      <c r="D9" s="307" t="s">
        <v>280</v>
      </c>
      <c r="E9" s="308" t="s">
        <v>281</v>
      </c>
      <c r="F9" s="309" t="s">
        <v>282</v>
      </c>
    </row>
    <row r="10" spans="1:6" ht="13.5">
      <c r="A10" s="310">
        <v>0</v>
      </c>
      <c r="B10" s="310" t="s">
        <v>283</v>
      </c>
      <c r="C10" s="310">
        <v>2</v>
      </c>
      <c r="D10" s="311">
        <v>3</v>
      </c>
      <c r="E10" s="310">
        <v>4</v>
      </c>
      <c r="F10" s="310">
        <v>5</v>
      </c>
    </row>
    <row r="11" spans="1:6" ht="14.25" customHeight="1">
      <c r="A11" s="312">
        <v>1</v>
      </c>
      <c r="B11" s="313" t="s">
        <v>300</v>
      </c>
      <c r="C11" s="314" t="s">
        <v>304</v>
      </c>
      <c r="D11" s="315">
        <v>130</v>
      </c>
      <c r="E11" s="316">
        <v>0</v>
      </c>
      <c r="F11" s="329">
        <f>D11*E11</f>
        <v>0</v>
      </c>
    </row>
    <row r="12" spans="1:6" ht="14.25" customHeight="1">
      <c r="A12" s="312">
        <v>2</v>
      </c>
      <c r="B12" s="313" t="s">
        <v>301</v>
      </c>
      <c r="C12" s="314" t="s">
        <v>303</v>
      </c>
      <c r="D12" s="315">
        <v>250</v>
      </c>
      <c r="E12" s="316">
        <v>0</v>
      </c>
      <c r="F12" s="329">
        <f>D12*E12</f>
        <v>0</v>
      </c>
    </row>
    <row r="13" spans="1:6" ht="14.25" customHeight="1">
      <c r="A13" s="312">
        <v>3</v>
      </c>
      <c r="B13" s="313" t="s">
        <v>302</v>
      </c>
      <c r="C13" s="314" t="s">
        <v>284</v>
      </c>
      <c r="D13" s="315">
        <v>160</v>
      </c>
      <c r="E13" s="316">
        <v>0</v>
      </c>
      <c r="F13" s="329">
        <f>D13*E13</f>
        <v>0</v>
      </c>
    </row>
    <row r="14" spans="1:6" ht="14.25" customHeight="1">
      <c r="A14" s="312">
        <v>4</v>
      </c>
      <c r="B14" s="313" t="s">
        <v>305</v>
      </c>
      <c r="C14" s="314" t="s">
        <v>285</v>
      </c>
      <c r="D14" s="315">
        <v>280</v>
      </c>
      <c r="E14" s="316">
        <v>0</v>
      </c>
      <c r="F14" s="329">
        <f>D14*E14</f>
        <v>0</v>
      </c>
    </row>
    <row r="15" spans="1:6" ht="14.25" customHeight="1">
      <c r="A15" s="312">
        <v>5</v>
      </c>
      <c r="B15" s="313" t="s">
        <v>286</v>
      </c>
      <c r="C15" s="314" t="s">
        <v>287</v>
      </c>
      <c r="D15" s="315" t="s">
        <v>288</v>
      </c>
      <c r="E15" s="316">
        <v>0</v>
      </c>
      <c r="F15" s="329">
        <f>200*E15</f>
        <v>0</v>
      </c>
    </row>
    <row r="16" spans="1:6" ht="14.25" customHeight="1">
      <c r="A16" s="312">
        <v>6</v>
      </c>
      <c r="B16" s="313" t="s">
        <v>289</v>
      </c>
      <c r="C16" s="314" t="s">
        <v>290</v>
      </c>
      <c r="D16" s="315">
        <v>100</v>
      </c>
      <c r="E16" s="316">
        <v>0</v>
      </c>
      <c r="F16" s="329">
        <f>D16*E16</f>
        <v>0</v>
      </c>
    </row>
    <row r="17" spans="1:6" ht="14.25" customHeight="1">
      <c r="A17" s="312">
        <v>7</v>
      </c>
      <c r="B17" s="313" t="s">
        <v>291</v>
      </c>
      <c r="C17" s="314" t="s">
        <v>306</v>
      </c>
      <c r="D17" s="315">
        <v>40</v>
      </c>
      <c r="E17" s="316">
        <v>0</v>
      </c>
      <c r="F17" s="329">
        <f>D17*E17</f>
        <v>0</v>
      </c>
    </row>
    <row r="18" spans="1:6" ht="14.25" customHeight="1">
      <c r="A18" s="312">
        <v>8</v>
      </c>
      <c r="B18" s="313" t="s">
        <v>292</v>
      </c>
      <c r="C18" s="314" t="s">
        <v>293</v>
      </c>
      <c r="D18" s="315">
        <v>80</v>
      </c>
      <c r="E18" s="316">
        <v>0</v>
      </c>
      <c r="F18" s="329">
        <f>D18*E18</f>
        <v>0</v>
      </c>
    </row>
    <row r="19" spans="1:6" ht="14.25" thickBot="1">
      <c r="A19" s="317" t="s">
        <v>294</v>
      </c>
      <c r="B19" s="318"/>
      <c r="C19" s="319"/>
      <c r="D19" s="320" t="s">
        <v>295</v>
      </c>
      <c r="E19" s="321" t="s">
        <v>295</v>
      </c>
      <c r="F19" s="330">
        <f>SUM(F11:F18)</f>
        <v>0</v>
      </c>
    </row>
    <row r="20" ht="13.5">
      <c r="D20" s="62"/>
    </row>
    <row r="21" spans="3:4" ht="13.5">
      <c r="C21" s="63" t="s">
        <v>297</v>
      </c>
      <c r="D21" s="62"/>
    </row>
    <row r="22" spans="3:6" ht="13.5">
      <c r="C22" s="63" t="s">
        <v>298</v>
      </c>
      <c r="F22" s="323"/>
    </row>
    <row r="23" ht="13.5">
      <c r="C23" s="269" t="str">
        <f>Furnizor!AO22</f>
        <v>Nume Repl Legal Prenume Repl</v>
      </c>
    </row>
    <row r="24" ht="13.5">
      <c r="C24" s="223" t="s">
        <v>237</v>
      </c>
    </row>
  </sheetData>
  <sheetProtection password="DA1A" sheet="1" insertColumns="0" insertRows="0" deleteColumns="0" deleteRows="0"/>
  <mergeCells count="4">
    <mergeCell ref="B5:C5"/>
    <mergeCell ref="B6:C6"/>
    <mergeCell ref="C4:E4"/>
    <mergeCell ref="A4:B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Mar</cp:lastModifiedBy>
  <cp:lastPrinted>2021-07-04T13:48:29Z</cp:lastPrinted>
  <dcterms:modified xsi:type="dcterms:W3CDTF">2021-07-04T13:49:15Z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