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tabRatio="804" activeTab="1"/>
  </bookViews>
  <sheets>
    <sheet name="R-2021" sheetId="1" r:id="rId1"/>
    <sheet name="L-2021" sheetId="2" r:id="rId2"/>
  </sheets>
  <definedNames>
    <definedName name="_xlnm.Print_Area" localSheetId="1">'L-2021'!$A$1:$AO$30</definedName>
    <definedName name="_xlnm.Print_Area" localSheetId="0">'R-2021'!$A$1:$AP$25</definedName>
    <definedName name="_xlnm.Print_Titles" localSheetId="1">'L-2021'!$4:$4</definedName>
    <definedName name="_xlnm.Print_Titles" localSheetId="0">'R-2021'!$4:$4</definedName>
  </definedNames>
  <calcPr fullCalcOnLoad="1"/>
</workbook>
</file>

<file path=xl/sharedStrings.xml><?xml version="1.0" encoding="utf-8"?>
<sst xmlns="http://schemas.openxmlformats.org/spreadsheetml/2006/main" count="214" uniqueCount="118">
  <si>
    <t xml:space="preserve">Furnizor </t>
  </si>
  <si>
    <t>TOTAL RADIOLOGIE</t>
  </si>
  <si>
    <t>TOTAL I - analize laborator</t>
  </si>
  <si>
    <t>TOTAL II - anatomo-patologie</t>
  </si>
  <si>
    <t>TOTAL I+II - LABORATOARE</t>
  </si>
  <si>
    <t>SC OVIORI SRL - EKO</t>
  </si>
  <si>
    <t>CASA DE ASIGURARI DE SANATATE  BRAILA</t>
  </si>
  <si>
    <t>SC R.I.M. DR BANCEANU ELENA</t>
  </si>
  <si>
    <t>Sp. Judetean - radiologie-imagistica amb.</t>
  </si>
  <si>
    <t>SP de Pneumoftiziologie - rad.ambulator</t>
  </si>
  <si>
    <t xml:space="preserve">Nr furn </t>
  </si>
  <si>
    <t>SC R.I.M. DR. COSMESCU PETRE</t>
  </si>
  <si>
    <t>TOTAL ECOGRAFII + RAD.dentara</t>
  </si>
  <si>
    <t>TOTAL CONTRACTAT (laboratoare+radiologie imagistica)</t>
  </si>
  <si>
    <t>Policlinica copii "VENETIA" - EKO</t>
  </si>
  <si>
    <t>Cytopath S.R.L. Braila (Histopatologie)</t>
  </si>
  <si>
    <t>TOTAL SUME PARACLINICE (laboratoare + radiologie)</t>
  </si>
  <si>
    <t>RADOVA MEDICAL - EKO</t>
  </si>
  <si>
    <t>IAN realizat</t>
  </si>
  <si>
    <t>FEB realizat</t>
  </si>
  <si>
    <t>DR. VODA RALUCA - EKO</t>
  </si>
  <si>
    <t>DR. MARDARE SEBASTIAN -EKO</t>
  </si>
  <si>
    <t>DR CRISTEA ELENA - EKO</t>
  </si>
  <si>
    <t>DR.Stamate Maria-Magdalena- Rad dent.</t>
  </si>
  <si>
    <t>Spital FAUREI - EKO cabinete spec.</t>
  </si>
  <si>
    <t>SP JUDETEAN - EKO cabinete spec.</t>
  </si>
  <si>
    <t>SC DIAMED CENTER S.R.L.</t>
  </si>
  <si>
    <t>MEDCENTER - punct de lucru BRAILA</t>
  </si>
  <si>
    <t>MEDICOTEST</t>
  </si>
  <si>
    <t xml:space="preserve">CMI Varzaru Victoria  </t>
  </si>
  <si>
    <t>SC INVESTIGATII PRAXIS</t>
  </si>
  <si>
    <t>Sp de Pneumoftiziologie - laborator ambulatoriu</t>
  </si>
  <si>
    <t>MAR realizat</t>
  </si>
  <si>
    <t>APR realizat</t>
  </si>
  <si>
    <t>MAI realizat</t>
  </si>
  <si>
    <t>IUN realizat</t>
  </si>
  <si>
    <t>Medie realizari 13 luni (pt cei ce au realizat ctr)</t>
  </si>
  <si>
    <t>% pt Reg=</t>
  </si>
  <si>
    <t>ANEXA 1</t>
  </si>
  <si>
    <t>Suma nerealizata MAR2020(cu - in SIUI)</t>
  </si>
  <si>
    <t>APR reg dupa MAR2020</t>
  </si>
  <si>
    <t>Suma nerealizata APR2020 (cu - in SIUI)</t>
  </si>
  <si>
    <t>Suma pt REZERVA=</t>
  </si>
  <si>
    <t>Suma nerealizata MAI2020 (cu - in SIUI)</t>
  </si>
  <si>
    <r>
      <t xml:space="preserve">VENETIA MEDICAL </t>
    </r>
    <r>
      <rPr>
        <b/>
        <i/>
        <sz val="8"/>
        <rFont val="TimesRomanR"/>
        <family val="0"/>
      </rPr>
      <t>(in ctr din aug.2019 !)</t>
    </r>
  </si>
  <si>
    <t xml:space="preserve">Credit angajament pt 9 luni = </t>
  </si>
  <si>
    <t xml:space="preserve">AN 2020 REALIZAT </t>
  </si>
  <si>
    <t>IAN2021</t>
  </si>
  <si>
    <t>Suma nerealizata IAN2021 (cu - in SIUI)</t>
  </si>
  <si>
    <t>FEB2021</t>
  </si>
  <si>
    <t>REG dupa IAN2021</t>
  </si>
  <si>
    <t>FEB reg dupa IAN2021</t>
  </si>
  <si>
    <t>Suma nerealizata FEB2021 (cu - in SIUI)</t>
  </si>
  <si>
    <t>MAR2021</t>
  </si>
  <si>
    <t>suplim Monitor=</t>
  </si>
  <si>
    <t xml:space="preserve">TRIM I 2021 </t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</si>
  <si>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analize de laborator</t>
    </r>
    <r>
      <rPr>
        <b/>
        <sz val="12"/>
        <rFont val="TimesRomanR"/>
        <family val="0"/>
      </rPr>
      <t xml:space="preserve"> - AN 2021</t>
    </r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</si>
  <si>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radiologie -imagistica</t>
    </r>
    <r>
      <rPr>
        <b/>
        <sz val="12"/>
        <rFont val="TimesRomanR"/>
        <family val="0"/>
      </rPr>
      <t xml:space="preserve"> - AN 2021</t>
    </r>
  </si>
  <si>
    <t>din care: COVID = 6109,17 lei  si ONCO+DIABET = 66183,90 lei</t>
  </si>
  <si>
    <t>Pentru rezerva =</t>
  </si>
  <si>
    <t>Suplimentare Monitorizari FEB2021=</t>
  </si>
  <si>
    <t>suplim Monitor IAN2021=</t>
  </si>
  <si>
    <t>TOTAL suplim Monitorizari=</t>
  </si>
  <si>
    <t xml:space="preserve">Rezerva = </t>
  </si>
  <si>
    <t xml:space="preserve">CONTRACTAT pt IAN+FEB+MAR = </t>
  </si>
  <si>
    <t>Suplimentari acordate pt MONITORIZARI =</t>
  </si>
  <si>
    <t>Verificare =</t>
  </si>
  <si>
    <t>TOTAL Suplimentare Monitorizari FEB2021=</t>
  </si>
  <si>
    <t>TRIM II 2021</t>
  </si>
  <si>
    <t>AN 2021 contractat</t>
  </si>
  <si>
    <t xml:space="preserve">AN 2021 REALIZAT </t>
  </si>
  <si>
    <t>APR.2021</t>
  </si>
  <si>
    <t>MAI2021</t>
  </si>
  <si>
    <t>IUN2021</t>
  </si>
  <si>
    <t>TOTAL RADIOLOGIE-IMAGISTICA</t>
  </si>
  <si>
    <t xml:space="preserve">APR+MAI = </t>
  </si>
  <si>
    <t>suplim Monitor MAR2021=</t>
  </si>
  <si>
    <t>din care: Covid = 518,92 /Onco = 20074,44 / Diab = 3521,86</t>
  </si>
  <si>
    <t>TOTAL Suplimentare Monitorizari MAR2021=</t>
  </si>
  <si>
    <t>din care: Covid = 6389,92 /Onco = 112013,47 / Diab = 3521,86</t>
  </si>
  <si>
    <t>Medie realizari 3 luni (pt cei ce au realizat ctr)</t>
  </si>
  <si>
    <t>REG dupa MARTIE2021</t>
  </si>
  <si>
    <t>Pentru regularizare =</t>
  </si>
  <si>
    <t>din care: Covid = 5871 /Onco = 91939,03</t>
  </si>
  <si>
    <t>suplim Monitor APR2021=</t>
  </si>
  <si>
    <t>Suma nerealizata MAR2021(cu - in SIUI)</t>
  </si>
  <si>
    <t>Suma nerealizata APR2021 (cu - in SIUI)</t>
  </si>
  <si>
    <t>din care: Covid = 6612,23 /Onco = 106697,59 / Diab = 3014,92</t>
  </si>
  <si>
    <t xml:space="preserve">TOTAL CA / 6 LUNI 2021 = </t>
  </si>
  <si>
    <t>SUMA pt AA din MAI2021</t>
  </si>
  <si>
    <t>suplim Monitor MAI2021=</t>
  </si>
  <si>
    <t>Suma pt REZERVA dupa MAI=</t>
  </si>
  <si>
    <t xml:space="preserve">TOTAL CA / 6 LUNI 2021 suplim = </t>
  </si>
  <si>
    <t>Suma nerealizata MAI2021 (cu - in SIUI)</t>
  </si>
  <si>
    <t>Suma nerealizata IUN2021 (cu - in SIUI)</t>
  </si>
  <si>
    <t>IUL2021</t>
  </si>
  <si>
    <t>Monitorizari (cu + in SIUI)</t>
  </si>
  <si>
    <t>suplim Monitor IUN2021=</t>
  </si>
  <si>
    <t>din care: Covid = 2182,35 / Onco = 16694,85 / Diab = 5255,77</t>
  </si>
  <si>
    <t>din care: Covid = 5792 / Onco = 86812,76</t>
  </si>
  <si>
    <t xml:space="preserve">TOTAL CA / 7 LUNI 2021  = </t>
  </si>
  <si>
    <t>Suma pt REZERVA dupa IUN=</t>
  </si>
  <si>
    <t>Rez dupa MAI+IUN</t>
  </si>
  <si>
    <t>Medie lunara-2021</t>
  </si>
  <si>
    <t>AUG2021</t>
  </si>
  <si>
    <t>SEP2021</t>
  </si>
  <si>
    <t>TRIM III 2021</t>
  </si>
  <si>
    <t>OCT2021</t>
  </si>
  <si>
    <t>NOV2021</t>
  </si>
  <si>
    <t>DEC2021</t>
  </si>
  <si>
    <t>TRIM IV 2021</t>
  </si>
  <si>
    <t>Suma pt AUG-DEC</t>
  </si>
  <si>
    <t>SC NEWVITALCLINIC SRL</t>
  </si>
  <si>
    <t>DEC 2021</t>
  </si>
  <si>
    <t>04/08/2021</t>
  </si>
  <si>
    <t xml:space="preserve">Credit angajament/ AN 2021 = </t>
  </si>
  <si>
    <t>AN 2021 REALIZAT la 6 luni</t>
  </si>
  <si>
    <t>Rezerva =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</si>
</sst>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#,##0.000"/>
    <numFmt numFmtId="166" formatCode="#,##0.000000"/>
    <numFmt numFmtId="167" formatCode="#,##0.00000"/>
    <numFmt numFmtId="168" formatCode="#,##0.0000000"/>
    <numFmt numFmtId="169" formatCode="#,##0.00000000"/>
  </numFmts>
  <fonts count="44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b/>
      <sz val="12"/>
      <name val="TimesRomanR"/>
      <family val="0"/>
    </font>
    <font>
      <i/>
      <sz val="10"/>
      <name val="TimesRomanR"/>
      <family val="0"/>
    </font>
    <font>
      <b/>
      <i/>
      <sz val="10"/>
      <name val="TimesRomanR"/>
      <family val="0"/>
    </font>
    <font>
      <b/>
      <sz val="10"/>
      <name val="TimesRomanR"/>
      <family val="0"/>
    </font>
    <font>
      <b/>
      <sz val="8"/>
      <name val="TimesRomanR"/>
      <family val="0"/>
    </font>
    <font>
      <b/>
      <sz val="9"/>
      <name val="TimesRomanR"/>
      <family val="0"/>
    </font>
    <font>
      <sz val="8"/>
      <name val="TimesRomanR"/>
      <family val="0"/>
    </font>
    <font>
      <b/>
      <i/>
      <sz val="9"/>
      <name val="TimesRomanR"/>
      <family val="0"/>
    </font>
    <font>
      <sz val="9"/>
      <name val="TimesRomanR"/>
      <family val="0"/>
    </font>
    <font>
      <i/>
      <sz val="9"/>
      <name val="TimesRomanR"/>
      <family val="0"/>
    </font>
    <font>
      <b/>
      <u val="single"/>
      <sz val="12"/>
      <name val="TimesRomanR"/>
      <family val="0"/>
    </font>
    <font>
      <b/>
      <sz val="11"/>
      <name val="TimesRomanR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color indexed="8"/>
      <name val="TimesRomanR"/>
      <family val="0"/>
    </font>
    <font>
      <b/>
      <i/>
      <sz val="8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RomanR"/>
      <family val="0"/>
    </font>
    <font>
      <b/>
      <sz val="10"/>
      <color indexed="9"/>
      <name val="TimesRomanR"/>
      <family val="0"/>
    </font>
    <font>
      <sz val="10"/>
      <color indexed="9"/>
      <name val="TimesRomanR"/>
      <family val="0"/>
    </font>
    <font>
      <sz val="8"/>
      <color indexed="9"/>
      <name val="TimesRomanR"/>
      <family val="0"/>
    </font>
    <font>
      <b/>
      <sz val="9"/>
      <color indexed="9"/>
      <name val="TimesRomanR"/>
      <family val="0"/>
    </font>
    <font>
      <sz val="11"/>
      <name val="TimesRomanR"/>
      <family val="0"/>
    </font>
    <font>
      <i/>
      <sz val="11"/>
      <name val="TimesRomanR"/>
      <family val="0"/>
    </font>
    <font>
      <b/>
      <sz val="14"/>
      <name val="TimesRoman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4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10" fillId="22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8" fillId="0" borderId="13" xfId="0" applyNumberFormat="1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6" fillId="7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4" fontId="8" fillId="22" borderId="13" xfId="0" applyNumberFormat="1" applyFont="1" applyFill="1" applyBorder="1" applyAlignment="1">
      <alignment horizontal="center" vertical="center" wrapText="1"/>
    </xf>
    <xf numFmtId="4" fontId="1" fillId="22" borderId="15" xfId="0" applyNumberFormat="1" applyFont="1" applyFill="1" applyBorder="1" applyAlignment="1">
      <alignment wrapText="1"/>
    </xf>
    <xf numFmtId="4" fontId="1" fillId="22" borderId="16" xfId="0" applyNumberFormat="1" applyFont="1" applyFill="1" applyBorder="1" applyAlignment="1">
      <alignment wrapText="1"/>
    </xf>
    <xf numFmtId="4" fontId="1" fillId="22" borderId="17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13" xfId="0" applyNumberFormat="1" applyFont="1" applyFill="1" applyBorder="1" applyAlignment="1">
      <alignment horizontal="center" wrapText="1"/>
    </xf>
    <xf numFmtId="4" fontId="1" fillId="22" borderId="15" xfId="0" applyNumberFormat="1" applyFont="1" applyFill="1" applyBorder="1" applyAlignment="1">
      <alignment horizontal="right" wrapText="1"/>
    </xf>
    <xf numFmtId="4" fontId="1" fillId="22" borderId="18" xfId="0" applyNumberFormat="1" applyFont="1" applyFill="1" applyBorder="1" applyAlignment="1">
      <alignment horizontal="right" wrapText="1"/>
    </xf>
    <xf numFmtId="4" fontId="1" fillId="22" borderId="16" xfId="0" applyNumberFormat="1" applyFont="1" applyFill="1" applyBorder="1" applyAlignment="1">
      <alignment horizontal="right" wrapText="1"/>
    </xf>
    <xf numFmtId="4" fontId="6" fillId="3" borderId="19" xfId="0" applyNumberFormat="1" applyFont="1" applyFill="1" applyBorder="1" applyAlignment="1">
      <alignment horizontal="right" wrapText="1"/>
    </xf>
    <xf numFmtId="4" fontId="6" fillId="3" borderId="20" xfId="0" applyNumberFormat="1" applyFont="1" applyFill="1" applyBorder="1" applyAlignment="1">
      <alignment horizontal="right" wrapText="1"/>
    </xf>
    <xf numFmtId="4" fontId="6" fillId="3" borderId="21" xfId="0" applyNumberFormat="1" applyFont="1" applyFill="1" applyBorder="1" applyAlignment="1">
      <alignment horizontal="right" wrapText="1"/>
    </xf>
    <xf numFmtId="4" fontId="6" fillId="0" borderId="22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 horizontal="center" wrapText="1"/>
    </xf>
    <xf numFmtId="4" fontId="5" fillId="3" borderId="24" xfId="0" applyNumberFormat="1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wrapText="1"/>
    </xf>
    <xf numFmtId="4" fontId="1" fillId="22" borderId="18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4" fontId="5" fillId="22" borderId="24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4" fontId="6" fillId="0" borderId="27" xfId="0" applyNumberFormat="1" applyFont="1" applyFill="1" applyBorder="1" applyAlignment="1">
      <alignment/>
    </xf>
    <xf numFmtId="4" fontId="6" fillId="22" borderId="28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7" borderId="28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1" fillId="22" borderId="19" xfId="0" applyNumberFormat="1" applyFont="1" applyFill="1" applyBorder="1" applyAlignment="1">
      <alignment horizontal="right" wrapText="1"/>
    </xf>
    <xf numFmtId="4" fontId="6" fillId="7" borderId="3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6" fillId="24" borderId="19" xfId="0" applyNumberFormat="1" applyFont="1" applyFill="1" applyBorder="1" applyAlignment="1">
      <alignment wrapText="1"/>
    </xf>
    <xf numFmtId="4" fontId="6" fillId="24" borderId="20" xfId="0" applyNumberFormat="1" applyFont="1" applyFill="1" applyBorder="1" applyAlignment="1">
      <alignment wrapText="1"/>
    </xf>
    <xf numFmtId="4" fontId="1" fillId="22" borderId="19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6" fillId="22" borderId="22" xfId="0" applyNumberFormat="1" applyFont="1" applyFill="1" applyBorder="1" applyAlignment="1">
      <alignment/>
    </xf>
    <xf numFmtId="4" fontId="6" fillId="7" borderId="11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wrapText="1"/>
    </xf>
    <xf numFmtId="4" fontId="1" fillId="0" borderId="33" xfId="0" applyNumberFormat="1" applyFont="1" applyFill="1" applyBorder="1" applyAlignment="1">
      <alignment wrapText="1"/>
    </xf>
    <xf numFmtId="4" fontId="1" fillId="0" borderId="34" xfId="0" applyNumberFormat="1" applyFont="1" applyFill="1" applyBorder="1" applyAlignment="1">
      <alignment wrapText="1"/>
    </xf>
    <xf numFmtId="4" fontId="1" fillId="0" borderId="35" xfId="0" applyNumberFormat="1" applyFont="1" applyFill="1" applyBorder="1" applyAlignment="1">
      <alignment wrapText="1"/>
    </xf>
    <xf numFmtId="4" fontId="1" fillId="0" borderId="36" xfId="0" applyNumberFormat="1" applyFont="1" applyFill="1" applyBorder="1" applyAlignment="1">
      <alignment wrapText="1"/>
    </xf>
    <xf numFmtId="4" fontId="6" fillId="24" borderId="3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 wrapText="1"/>
    </xf>
    <xf numFmtId="4" fontId="6" fillId="22" borderId="11" xfId="0" applyNumberFormat="1" applyFont="1" applyFill="1" applyBorder="1" applyAlignment="1">
      <alignment horizontal="center" vertical="center" wrapText="1"/>
    </xf>
    <xf numFmtId="4" fontId="6" fillId="22" borderId="14" xfId="0" applyNumberFormat="1" applyFont="1" applyFill="1" applyBorder="1" applyAlignment="1">
      <alignment wrapText="1"/>
    </xf>
    <xf numFmtId="4" fontId="6" fillId="22" borderId="25" xfId="0" applyNumberFormat="1" applyFont="1" applyFill="1" applyBorder="1" applyAlignment="1">
      <alignment wrapText="1"/>
    </xf>
    <xf numFmtId="4" fontId="6" fillId="0" borderId="37" xfId="0" applyNumberFormat="1" applyFont="1" applyFill="1" applyBorder="1" applyAlignment="1">
      <alignment/>
    </xf>
    <xf numFmtId="4" fontId="6" fillId="22" borderId="37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 wrapText="1"/>
    </xf>
    <xf numFmtId="4" fontId="1" fillId="22" borderId="14" xfId="0" applyNumberFormat="1" applyFont="1" applyFill="1" applyBorder="1" applyAlignment="1">
      <alignment wrapText="1"/>
    </xf>
    <xf numFmtId="4" fontId="1" fillId="22" borderId="38" xfId="0" applyNumberFormat="1" applyFont="1" applyFill="1" applyBorder="1" applyAlignment="1">
      <alignment wrapText="1"/>
    </xf>
    <xf numFmtId="4" fontId="1" fillId="22" borderId="20" xfId="0" applyNumberFormat="1" applyFont="1" applyFill="1" applyBorder="1" applyAlignment="1">
      <alignment wrapText="1"/>
    </xf>
    <xf numFmtId="4" fontId="4" fillId="22" borderId="19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/>
    </xf>
    <xf numFmtId="1" fontId="6" fillId="22" borderId="11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21" borderId="14" xfId="0" applyNumberFormat="1" applyFont="1" applyFill="1" applyBorder="1" applyAlignment="1">
      <alignment wrapText="1"/>
    </xf>
    <xf numFmtId="0" fontId="36" fillId="0" borderId="17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1" fontId="9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4" fontId="1" fillId="0" borderId="25" xfId="0" applyNumberFormat="1" applyFont="1" applyBorder="1" applyAlignment="1">
      <alignment wrapText="1"/>
    </xf>
    <xf numFmtId="0" fontId="14" fillId="0" borderId="0" xfId="0" applyFont="1" applyAlignment="1">
      <alignment/>
    </xf>
    <xf numFmtId="4" fontId="36" fillId="3" borderId="11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Fill="1" applyBorder="1" applyAlignment="1" quotePrefix="1">
      <alignment horizontal="right"/>
    </xf>
    <xf numFmtId="0" fontId="37" fillId="0" borderId="0" xfId="0" applyFont="1" applyFill="1" applyBorder="1" applyAlignment="1">
      <alignment horizontal="right" wrapText="1"/>
    </xf>
    <xf numFmtId="4" fontId="37" fillId="0" borderId="0" xfId="0" applyNumberFormat="1" applyFont="1" applyFill="1" applyBorder="1" applyAlignment="1">
      <alignment horizontal="left" wrapText="1"/>
    </xf>
    <xf numFmtId="1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4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/>
    </xf>
    <xf numFmtId="1" fontId="6" fillId="5" borderId="13" xfId="0" applyNumberFormat="1" applyFont="1" applyFill="1" applyBorder="1" applyAlignment="1">
      <alignment horizontal="center" vertical="center" wrapText="1"/>
    </xf>
    <xf numFmtId="1" fontId="14" fillId="8" borderId="11" xfId="0" applyNumberFormat="1" applyFont="1" applyFill="1" applyBorder="1" applyAlignment="1">
      <alignment horizontal="center" vertical="center" wrapText="1"/>
    </xf>
    <xf numFmtId="4" fontId="14" fillId="8" borderId="14" xfId="0" applyNumberFormat="1" applyFont="1" applyFill="1" applyBorder="1" applyAlignment="1">
      <alignment wrapText="1"/>
    </xf>
    <xf numFmtId="4" fontId="8" fillId="7" borderId="45" xfId="0" applyNumberFormat="1" applyFont="1" applyFill="1" applyBorder="1" applyAlignment="1">
      <alignment horizontal="center" wrapText="1"/>
    </xf>
    <xf numFmtId="4" fontId="6" fillId="8" borderId="19" xfId="0" applyNumberFormat="1" applyFont="1" applyFill="1" applyBorder="1" applyAlignment="1">
      <alignment wrapText="1"/>
    </xf>
    <xf numFmtId="4" fontId="6" fillId="8" borderId="20" xfId="0" applyNumberFormat="1" applyFont="1" applyFill="1" applyBorder="1" applyAlignment="1">
      <alignment wrapText="1"/>
    </xf>
    <xf numFmtId="166" fontId="8" fillId="7" borderId="11" xfId="0" applyNumberFormat="1" applyFont="1" applyFill="1" applyBorder="1" applyAlignment="1">
      <alignment horizontal="right" wrapText="1"/>
    </xf>
    <xf numFmtId="4" fontId="6" fillId="0" borderId="32" xfId="0" applyNumberFormat="1" applyFont="1" applyFill="1" applyBorder="1" applyAlignment="1">
      <alignment/>
    </xf>
    <xf numFmtId="1" fontId="6" fillId="7" borderId="11" xfId="0" applyNumberFormat="1" applyFont="1" applyFill="1" applyBorder="1" applyAlignment="1">
      <alignment horizontal="center" vertical="center" wrapText="1"/>
    </xf>
    <xf numFmtId="4" fontId="6" fillId="5" borderId="46" xfId="0" applyNumberFormat="1" applyFont="1" applyFill="1" applyBorder="1" applyAlignment="1">
      <alignment/>
    </xf>
    <xf numFmtId="4" fontId="18" fillId="7" borderId="1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wrapText="1"/>
    </xf>
    <xf numFmtId="4" fontId="1" fillId="0" borderId="2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4" fontId="5" fillId="7" borderId="11" xfId="0" applyNumberFormat="1" applyFont="1" applyFill="1" applyBorder="1" applyAlignment="1">
      <alignment horizont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wrapText="1"/>
    </xf>
    <xf numFmtId="4" fontId="6" fillId="5" borderId="37" xfId="0" applyNumberFormat="1" applyFont="1" applyFill="1" applyBorder="1" applyAlignment="1">
      <alignment/>
    </xf>
    <xf numFmtId="4" fontId="6" fillId="3" borderId="16" xfId="0" applyNumberFormat="1" applyFont="1" applyFill="1" applyBorder="1" applyAlignment="1">
      <alignment horizontal="right" wrapText="1"/>
    </xf>
    <xf numFmtId="4" fontId="6" fillId="3" borderId="47" xfId="0" applyNumberFormat="1" applyFont="1" applyFill="1" applyBorder="1" applyAlignment="1">
      <alignment horizontal="right" wrapText="1"/>
    </xf>
    <xf numFmtId="4" fontId="6" fillId="3" borderId="48" xfId="0" applyNumberFormat="1" applyFont="1" applyFill="1" applyBorder="1" applyAlignment="1">
      <alignment horizontal="right" wrapText="1"/>
    </xf>
    <xf numFmtId="4" fontId="6" fillId="3" borderId="39" xfId="0" applyNumberFormat="1" applyFont="1" applyFill="1" applyBorder="1" applyAlignment="1">
      <alignment horizontal="right" wrapText="1"/>
    </xf>
    <xf numFmtId="4" fontId="4" fillId="0" borderId="39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 quotePrefix="1">
      <alignment horizontal="center" vertical="center" wrapText="1"/>
    </xf>
    <xf numFmtId="4" fontId="1" fillId="5" borderId="49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center" wrapText="1"/>
    </xf>
    <xf numFmtId="4" fontId="18" fillId="25" borderId="0" xfId="0" applyNumberFormat="1" applyFont="1" applyFill="1" applyBorder="1" applyAlignment="1">
      <alignment horizontal="center" wrapText="1"/>
    </xf>
    <xf numFmtId="4" fontId="6" fillId="7" borderId="37" xfId="0" applyNumberFormat="1" applyFont="1" applyFill="1" applyBorder="1" applyAlignment="1">
      <alignment/>
    </xf>
    <xf numFmtId="4" fontId="18" fillId="7" borderId="13" xfId="0" applyNumberFormat="1" applyFont="1" applyFill="1" applyBorder="1" applyAlignment="1">
      <alignment horizontal="center" wrapText="1"/>
    </xf>
    <xf numFmtId="4" fontId="6" fillId="21" borderId="20" xfId="0" applyNumberFormat="1" applyFont="1" applyFill="1" applyBorder="1" applyAlignment="1">
      <alignment wrapText="1"/>
    </xf>
    <xf numFmtId="4" fontId="6" fillId="21" borderId="19" xfId="0" applyNumberFormat="1" applyFont="1" applyFill="1" applyBorder="1" applyAlignment="1">
      <alignment wrapText="1"/>
    </xf>
    <xf numFmtId="4" fontId="5" fillId="7" borderId="45" xfId="0" applyNumberFormat="1" applyFont="1" applyFill="1" applyBorder="1" applyAlignment="1">
      <alignment horizontal="center" wrapText="1"/>
    </xf>
    <xf numFmtId="4" fontId="6" fillId="5" borderId="15" xfId="0" applyNumberFormat="1" applyFont="1" applyFill="1" applyBorder="1" applyAlignment="1">
      <alignment wrapText="1"/>
    </xf>
    <xf numFmtId="4" fontId="6" fillId="7" borderId="21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6" fillId="20" borderId="31" xfId="0" applyFont="1" applyFill="1" applyBorder="1" applyAlignment="1">
      <alignment horizontal="right"/>
    </xf>
    <xf numFmtId="4" fontId="6" fillId="20" borderId="50" xfId="0" applyNumberFormat="1" applyFont="1" applyFill="1" applyBorder="1" applyAlignment="1">
      <alignment/>
    </xf>
    <xf numFmtId="0" fontId="6" fillId="20" borderId="51" xfId="0" applyFont="1" applyFill="1" applyBorder="1" applyAlignment="1">
      <alignment horizontal="right"/>
    </xf>
    <xf numFmtId="4" fontId="6" fillId="20" borderId="52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wrapText="1"/>
    </xf>
    <xf numFmtId="4" fontId="18" fillId="0" borderId="53" xfId="0" applyNumberFormat="1" applyFont="1" applyBorder="1" applyAlignment="1">
      <alignment horizontal="center" vertical="center" wrapText="1"/>
    </xf>
    <xf numFmtId="4" fontId="6" fillId="5" borderId="11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wrapText="1"/>
    </xf>
    <xf numFmtId="3" fontId="17" fillId="0" borderId="18" xfId="0" applyNumberFormat="1" applyFont="1" applyFill="1" applyBorder="1" applyAlignment="1">
      <alignment horizontal="center" wrapText="1"/>
    </xf>
    <xf numFmtId="3" fontId="6" fillId="0" borderId="47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4" fontId="6" fillId="22" borderId="13" xfId="0" applyNumberFormat="1" applyFont="1" applyFill="1" applyBorder="1" applyAlignment="1">
      <alignment/>
    </xf>
    <xf numFmtId="4" fontId="17" fillId="5" borderId="15" xfId="0" applyNumberFormat="1" applyFont="1" applyFill="1" applyBorder="1" applyAlignment="1">
      <alignment horizontal="center" wrapText="1"/>
    </xf>
    <xf numFmtId="3" fontId="17" fillId="0" borderId="13" xfId="0" applyNumberFormat="1" applyFont="1" applyFill="1" applyBorder="1" applyAlignment="1" quotePrefix="1">
      <alignment horizontal="center" wrapText="1"/>
    </xf>
    <xf numFmtId="4" fontId="5" fillId="3" borderId="45" xfId="0" applyNumberFormat="1" applyFont="1" applyFill="1" applyBorder="1" applyAlignment="1">
      <alignment horizontal="center" wrapText="1"/>
    </xf>
    <xf numFmtId="4" fontId="5" fillId="3" borderId="54" xfId="0" applyNumberFormat="1" applyFont="1" applyFill="1" applyBorder="1" applyAlignment="1">
      <alignment horizontal="center" wrapText="1"/>
    </xf>
    <xf numFmtId="4" fontId="6" fillId="26" borderId="11" xfId="0" applyNumberFormat="1" applyFont="1" applyFill="1" applyBorder="1" applyAlignment="1">
      <alignment horizontal="center" vertical="center" wrapText="1"/>
    </xf>
    <xf numFmtId="4" fontId="6" fillId="26" borderId="53" xfId="0" applyNumberFormat="1" applyFont="1" applyFill="1" applyBorder="1" applyAlignment="1">
      <alignment/>
    </xf>
    <xf numFmtId="4" fontId="1" fillId="20" borderId="55" xfId="0" applyNumberFormat="1" applyFont="1" applyFill="1" applyBorder="1" applyAlignment="1">
      <alignment/>
    </xf>
    <xf numFmtId="4" fontId="6" fillId="26" borderId="45" xfId="0" applyNumberFormat="1" applyFont="1" applyFill="1" applyBorder="1" applyAlignment="1">
      <alignment/>
    </xf>
    <xf numFmtId="4" fontId="6" fillId="24" borderId="53" xfId="0" applyNumberFormat="1" applyFont="1" applyFill="1" applyBorder="1" applyAlignment="1">
      <alignment/>
    </xf>
    <xf numFmtId="4" fontId="1" fillId="20" borderId="56" xfId="0" applyNumberFormat="1" applyFont="1" applyFill="1" applyBorder="1" applyAlignment="1">
      <alignment/>
    </xf>
    <xf numFmtId="4" fontId="1" fillId="20" borderId="2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 wrapText="1"/>
    </xf>
    <xf numFmtId="4" fontId="6" fillId="0" borderId="16" xfId="0" applyNumberFormat="1" applyFont="1" applyFill="1" applyBorder="1" applyAlignment="1">
      <alignment wrapText="1"/>
    </xf>
    <xf numFmtId="4" fontId="14" fillId="24" borderId="45" xfId="0" applyNumberFormat="1" applyFont="1" applyFill="1" applyBorder="1" applyAlignment="1">
      <alignment/>
    </xf>
    <xf numFmtId="0" fontId="41" fillId="0" borderId="13" xfId="0" applyFont="1" applyFill="1" applyBorder="1" applyAlignment="1">
      <alignment horizontal="center" vertical="center" wrapText="1"/>
    </xf>
    <xf numFmtId="0" fontId="42" fillId="11" borderId="11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wrapText="1"/>
    </xf>
    <xf numFmtId="1" fontId="14" fillId="21" borderId="24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wrapText="1"/>
    </xf>
    <xf numFmtId="4" fontId="6" fillId="0" borderId="45" xfId="0" applyNumberFormat="1" applyFont="1" applyFill="1" applyBorder="1" applyAlignment="1">
      <alignment wrapText="1"/>
    </xf>
    <xf numFmtId="4" fontId="6" fillId="21" borderId="53" xfId="0" applyNumberFormat="1" applyFont="1" applyFill="1" applyBorder="1" applyAlignment="1">
      <alignment horizontal="center" vertical="center" wrapText="1"/>
    </xf>
    <xf numFmtId="4" fontId="17" fillId="21" borderId="16" xfId="0" applyNumberFormat="1" applyFont="1" applyFill="1" applyBorder="1" applyAlignment="1">
      <alignment horizontal="right" vertical="center" wrapText="1"/>
    </xf>
    <xf numFmtId="4" fontId="17" fillId="21" borderId="19" xfId="0" applyNumberFormat="1" applyFont="1" applyFill="1" applyBorder="1" applyAlignment="1">
      <alignment horizontal="right" vertical="center" wrapText="1"/>
    </xf>
    <xf numFmtId="4" fontId="17" fillId="21" borderId="18" xfId="0" applyNumberFormat="1" applyFont="1" applyFill="1" applyBorder="1" applyAlignment="1">
      <alignment horizontal="right" vertical="center" wrapText="1"/>
    </xf>
    <xf numFmtId="4" fontId="8" fillId="21" borderId="0" xfId="0" applyNumberFormat="1" applyFont="1" applyFill="1" applyBorder="1" applyAlignment="1">
      <alignment horizontal="right" vertical="center" wrapText="1"/>
    </xf>
    <xf numFmtId="4" fontId="6" fillId="21" borderId="11" xfId="0" applyNumberFormat="1" applyFont="1" applyFill="1" applyBorder="1" applyAlignment="1">
      <alignment horizontal="center" vertical="center" wrapText="1"/>
    </xf>
    <xf numFmtId="4" fontId="6" fillId="21" borderId="37" xfId="0" applyNumberFormat="1" applyFont="1" applyFill="1" applyBorder="1" applyAlignment="1">
      <alignment horizontal="center" wrapText="1"/>
    </xf>
    <xf numFmtId="4" fontId="5" fillId="10" borderId="45" xfId="0" applyNumberFormat="1" applyFont="1" applyFill="1" applyBorder="1" applyAlignment="1">
      <alignment horizontal="center" wrapText="1"/>
    </xf>
    <xf numFmtId="4" fontId="5" fillId="10" borderId="13" xfId="0" applyNumberFormat="1" applyFont="1" applyFill="1" applyBorder="1" applyAlignment="1">
      <alignment horizontal="right" vertical="center" wrapText="1"/>
    </xf>
    <xf numFmtId="4" fontId="6" fillId="5" borderId="20" xfId="0" applyNumberFormat="1" applyFont="1" applyFill="1" applyBorder="1" applyAlignment="1">
      <alignment horizontal="right" wrapText="1"/>
    </xf>
    <xf numFmtId="4" fontId="6" fillId="5" borderId="14" xfId="0" applyNumberFormat="1" applyFont="1" applyFill="1" applyBorder="1" applyAlignment="1">
      <alignment horizontal="right" wrapText="1"/>
    </xf>
    <xf numFmtId="1" fontId="7" fillId="0" borderId="13" xfId="0" applyNumberFormat="1" applyFont="1" applyFill="1" applyBorder="1" applyAlignment="1">
      <alignment horizontal="center" vertical="center" wrapText="1"/>
    </xf>
    <xf numFmtId="4" fontId="6" fillId="10" borderId="13" xfId="0" applyNumberFormat="1" applyFont="1" applyFill="1" applyBorder="1" applyAlignment="1">
      <alignment/>
    </xf>
    <xf numFmtId="4" fontId="6" fillId="10" borderId="53" xfId="0" applyNumberFormat="1" applyFont="1" applyFill="1" applyBorder="1" applyAlignment="1">
      <alignment/>
    </xf>
    <xf numFmtId="4" fontId="6" fillId="10" borderId="45" xfId="0" applyNumberFormat="1" applyFont="1" applyFill="1" applyBorder="1" applyAlignment="1">
      <alignment/>
    </xf>
    <xf numFmtId="4" fontId="6" fillId="3" borderId="14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1" fontId="14" fillId="24" borderId="11" xfId="0" applyNumberFormat="1" applyFont="1" applyFill="1" applyBorder="1" applyAlignment="1">
      <alignment horizontal="center" vertical="center" wrapText="1"/>
    </xf>
    <xf numFmtId="4" fontId="14" fillId="24" borderId="14" xfId="0" applyNumberFormat="1" applyFont="1" applyFill="1" applyBorder="1" applyAlignment="1">
      <alignment wrapText="1"/>
    </xf>
    <xf numFmtId="4" fontId="36" fillId="3" borderId="24" xfId="0" applyNumberFormat="1" applyFont="1" applyFill="1" applyBorder="1" applyAlignment="1">
      <alignment horizontal="center" wrapText="1"/>
    </xf>
    <xf numFmtId="0" fontId="14" fillId="24" borderId="23" xfId="0" applyFont="1" applyFill="1" applyBorder="1" applyAlignment="1">
      <alignment horizontal="right"/>
    </xf>
    <xf numFmtId="4" fontId="14" fillId="7" borderId="45" xfId="0" applyNumberFormat="1" applyFont="1" applyFill="1" applyBorder="1" applyAlignment="1">
      <alignment horizontal="right" wrapText="1"/>
    </xf>
    <xf numFmtId="164" fontId="8" fillId="7" borderId="13" xfId="0" applyNumberFormat="1" applyFont="1" applyFill="1" applyBorder="1" applyAlignment="1">
      <alignment horizontal="center" wrapText="1"/>
    </xf>
    <xf numFmtId="4" fontId="6" fillId="10" borderId="11" xfId="0" applyNumberFormat="1" applyFont="1" applyFill="1" applyBorder="1" applyAlignment="1">
      <alignment wrapText="1"/>
    </xf>
    <xf numFmtId="4" fontId="6" fillId="7" borderId="13" xfId="0" applyNumberFormat="1" applyFont="1" applyFill="1" applyBorder="1" applyAlignment="1">
      <alignment/>
    </xf>
    <xf numFmtId="4" fontId="6" fillId="7" borderId="45" xfId="0" applyNumberFormat="1" applyFont="1" applyFill="1" applyBorder="1" applyAlignment="1">
      <alignment/>
    </xf>
    <xf numFmtId="4" fontId="7" fillId="10" borderId="53" xfId="0" applyNumberFormat="1" applyFont="1" applyFill="1" applyBorder="1" applyAlignment="1">
      <alignment/>
    </xf>
    <xf numFmtId="164" fontId="8" fillId="7" borderId="26" xfId="0" applyNumberFormat="1" applyFont="1" applyFill="1" applyBorder="1" applyAlignment="1">
      <alignment/>
    </xf>
    <xf numFmtId="166" fontId="5" fillId="7" borderId="37" xfId="0" applyNumberFormat="1" applyFont="1" applyFill="1" applyBorder="1" applyAlignment="1">
      <alignment horizontal="center" wrapText="1"/>
    </xf>
    <xf numFmtId="3" fontId="14" fillId="7" borderId="55" xfId="0" applyNumberFormat="1" applyFont="1" applyFill="1" applyBorder="1" applyAlignment="1">
      <alignment horizontal="center"/>
    </xf>
    <xf numFmtId="167" fontId="5" fillId="7" borderId="37" xfId="0" applyNumberFormat="1" applyFont="1" applyFill="1" applyBorder="1" applyAlignment="1">
      <alignment horizontal="center" wrapText="1"/>
    </xf>
    <xf numFmtId="4" fontId="6" fillId="0" borderId="53" xfId="0" applyNumberFormat="1" applyFont="1" applyBorder="1" applyAlignment="1" quotePrefix="1">
      <alignment horizontal="center" vertical="center" wrapText="1"/>
    </xf>
    <xf numFmtId="4" fontId="6" fillId="0" borderId="4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 quotePrefix="1">
      <alignment horizontal="center" vertical="center" wrapText="1"/>
    </xf>
    <xf numFmtId="4" fontId="5" fillId="10" borderId="45" xfId="0" applyNumberFormat="1" applyFont="1" applyFill="1" applyBorder="1" applyAlignment="1">
      <alignment horizontal="right"/>
    </xf>
    <xf numFmtId="4" fontId="5" fillId="10" borderId="11" xfId="0" applyNumberFormat="1" applyFont="1" applyFill="1" applyBorder="1" applyAlignment="1">
      <alignment/>
    </xf>
    <xf numFmtId="1" fontId="14" fillId="21" borderId="11" xfId="0" applyNumberFormat="1" applyFont="1" applyFill="1" applyBorder="1" applyAlignment="1">
      <alignment horizontal="center" vertical="center" wrapText="1"/>
    </xf>
    <xf numFmtId="4" fontId="6" fillId="10" borderId="11" xfId="0" applyNumberFormat="1" applyFont="1" applyFill="1" applyBorder="1" applyAlignment="1">
      <alignment/>
    </xf>
    <xf numFmtId="4" fontId="1" fillId="22" borderId="25" xfId="0" applyNumberFormat="1" applyFont="1" applyFill="1" applyBorder="1" applyAlignment="1">
      <alignment wrapText="1"/>
    </xf>
    <xf numFmtId="4" fontId="18" fillId="0" borderId="45" xfId="0" applyNumberFormat="1" applyFont="1" applyFill="1" applyBorder="1" applyAlignment="1">
      <alignment horizontal="center" wrapText="1"/>
    </xf>
    <xf numFmtId="3" fontId="1" fillId="0" borderId="57" xfId="0" applyNumberFormat="1" applyFont="1" applyFill="1" applyBorder="1" applyAlignment="1">
      <alignment wrapText="1"/>
    </xf>
    <xf numFmtId="3" fontId="1" fillId="0" borderId="39" xfId="0" applyNumberFormat="1" applyFont="1" applyFill="1" applyBorder="1" applyAlignment="1">
      <alignment wrapText="1"/>
    </xf>
    <xf numFmtId="4" fontId="6" fillId="24" borderId="11" xfId="0" applyNumberFormat="1" applyFont="1" applyFill="1" applyBorder="1" applyAlignment="1">
      <alignment/>
    </xf>
    <xf numFmtId="3" fontId="3" fillId="24" borderId="54" xfId="0" applyNumberFormat="1" applyFont="1" applyFill="1" applyBorder="1" applyAlignment="1">
      <alignment horizontal="left"/>
    </xf>
    <xf numFmtId="4" fontId="6" fillId="0" borderId="53" xfId="0" applyNumberFormat="1" applyFont="1" applyBorder="1" applyAlignment="1">
      <alignment horizontal="left" wrapText="1"/>
    </xf>
    <xf numFmtId="4" fontId="18" fillId="10" borderId="13" xfId="0" applyNumberFormat="1" applyFont="1" applyFill="1" applyBorder="1" applyAlignment="1">
      <alignment horizontal="left" vertical="center" wrapText="1"/>
    </xf>
    <xf numFmtId="4" fontId="6" fillId="10" borderId="15" xfId="0" applyNumberFormat="1" applyFont="1" applyFill="1" applyBorder="1" applyAlignment="1">
      <alignment wrapText="1"/>
    </xf>
    <xf numFmtId="4" fontId="3" fillId="7" borderId="11" xfId="0" applyNumberFormat="1" applyFont="1" applyFill="1" applyBorder="1" applyAlignment="1">
      <alignment horizontal="center" wrapText="1"/>
    </xf>
    <xf numFmtId="4" fontId="6" fillId="10" borderId="15" xfId="0" applyNumberFormat="1" applyFont="1" applyFill="1" applyBorder="1" applyAlignment="1">
      <alignment horizontal="right" wrapText="1"/>
    </xf>
    <xf numFmtId="4" fontId="6" fillId="10" borderId="45" xfId="0" applyNumberFormat="1" applyFont="1" applyFill="1" applyBorder="1" applyAlignment="1">
      <alignment horizontal="right" wrapText="1"/>
    </xf>
    <xf numFmtId="4" fontId="6" fillId="7" borderId="11" xfId="0" applyNumberFormat="1" applyFont="1" applyFill="1" applyBorder="1" applyAlignment="1">
      <alignment horizontal="right"/>
    </xf>
    <xf numFmtId="4" fontId="6" fillId="7" borderId="48" xfId="0" applyNumberFormat="1" applyFont="1" applyFill="1" applyBorder="1" applyAlignment="1">
      <alignment horizontal="right" wrapText="1"/>
    </xf>
    <xf numFmtId="4" fontId="6" fillId="10" borderId="45" xfId="0" applyNumberFormat="1" applyFont="1" applyFill="1" applyBorder="1" applyAlignment="1">
      <alignment horizontal="left" wrapText="1"/>
    </xf>
    <xf numFmtId="4" fontId="5" fillId="10" borderId="53" xfId="0" applyNumberFormat="1" applyFont="1" applyFill="1" applyBorder="1" applyAlignment="1">
      <alignment horizontal="center" wrapText="1"/>
    </xf>
    <xf numFmtId="166" fontId="7" fillId="7" borderId="45" xfId="0" applyNumberFormat="1" applyFont="1" applyFill="1" applyBorder="1" applyAlignment="1">
      <alignment horizontal="right"/>
    </xf>
    <xf numFmtId="4" fontId="1" fillId="5" borderId="39" xfId="0" applyNumberFormat="1" applyFont="1" applyFill="1" applyBorder="1" applyAlignment="1">
      <alignment wrapText="1"/>
    </xf>
    <xf numFmtId="1" fontId="7" fillId="0" borderId="37" xfId="0" applyNumberFormat="1" applyFont="1" applyFill="1" applyBorder="1" applyAlignment="1">
      <alignment horizontal="center" vertical="center" wrapText="1"/>
    </xf>
    <xf numFmtId="4" fontId="1" fillId="22" borderId="49" xfId="0" applyNumberFormat="1" applyFont="1" applyFill="1" applyBorder="1" applyAlignment="1">
      <alignment wrapText="1"/>
    </xf>
    <xf numFmtId="4" fontId="6" fillId="10" borderId="14" xfId="0" applyNumberFormat="1" applyFont="1" applyFill="1" applyBorder="1" applyAlignment="1">
      <alignment wrapText="1"/>
    </xf>
    <xf numFmtId="4" fontId="6" fillId="10" borderId="45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left" wrapText="1"/>
    </xf>
    <xf numFmtId="4" fontId="6" fillId="10" borderId="19" xfId="0" applyNumberFormat="1" applyFont="1" applyFill="1" applyBorder="1" applyAlignment="1">
      <alignment wrapText="1"/>
    </xf>
    <xf numFmtId="4" fontId="18" fillId="0" borderId="45" xfId="0" applyNumberFormat="1" applyFont="1" applyFill="1" applyBorder="1" applyAlignment="1">
      <alignment horizontal="center" vertical="center" wrapText="1"/>
    </xf>
    <xf numFmtId="4" fontId="14" fillId="7" borderId="45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 horizontal="left" wrapText="1"/>
    </xf>
    <xf numFmtId="4" fontId="6" fillId="10" borderId="33" xfId="0" applyNumberFormat="1" applyFont="1" applyFill="1" applyBorder="1" applyAlignment="1">
      <alignment wrapText="1"/>
    </xf>
    <xf numFmtId="4" fontId="5" fillId="7" borderId="13" xfId="0" applyNumberFormat="1" applyFont="1" applyFill="1" applyBorder="1" applyAlignment="1">
      <alignment horizontal="center" wrapText="1"/>
    </xf>
    <xf numFmtId="4" fontId="6" fillId="10" borderId="53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4" fontId="1" fillId="0" borderId="47" xfId="0" applyNumberFormat="1" applyFont="1" applyFill="1" applyBorder="1" applyAlignment="1">
      <alignment wrapText="1"/>
    </xf>
    <xf numFmtId="4" fontId="6" fillId="10" borderId="16" xfId="0" applyNumberFormat="1" applyFont="1" applyFill="1" applyBorder="1" applyAlignment="1">
      <alignment wrapText="1"/>
    </xf>
    <xf numFmtId="4" fontId="6" fillId="10" borderId="45" xfId="0" applyNumberFormat="1" applyFont="1" applyFill="1" applyBorder="1" applyAlignment="1">
      <alignment horizontal="center" wrapText="1"/>
    </xf>
    <xf numFmtId="3" fontId="6" fillId="24" borderId="5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horizontal="left" wrapText="1"/>
    </xf>
    <xf numFmtId="4" fontId="18" fillId="0" borderId="22" xfId="0" applyNumberFormat="1" applyFont="1" applyFill="1" applyBorder="1" applyAlignment="1">
      <alignment horizontal="left" wrapText="1"/>
    </xf>
    <xf numFmtId="4" fontId="6" fillId="24" borderId="58" xfId="0" applyNumberFormat="1" applyFont="1" applyFill="1" applyBorder="1" applyAlignment="1">
      <alignment/>
    </xf>
    <xf numFmtId="4" fontId="6" fillId="24" borderId="0" xfId="0" applyNumberFormat="1" applyFont="1" applyFill="1" applyAlignment="1">
      <alignment/>
    </xf>
    <xf numFmtId="4" fontId="1" fillId="0" borderId="53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7" fillId="0" borderId="13" xfId="0" applyNumberFormat="1" applyFont="1" applyFill="1" applyBorder="1" applyAlignment="1" quotePrefix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6" fillId="0" borderId="51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1" fontId="14" fillId="24" borderId="45" xfId="0" applyNumberFormat="1" applyFont="1" applyFill="1" applyBorder="1" applyAlignment="1">
      <alignment horizontal="center" vertical="center" wrapText="1"/>
    </xf>
    <xf numFmtId="4" fontId="14" fillId="24" borderId="49" xfId="0" applyNumberFormat="1" applyFont="1" applyFill="1" applyBorder="1" applyAlignment="1">
      <alignment wrapText="1"/>
    </xf>
    <xf numFmtId="4" fontId="6" fillId="10" borderId="34" xfId="0" applyNumberFormat="1" applyFont="1" applyFill="1" applyBorder="1" applyAlignment="1">
      <alignment wrapText="1"/>
    </xf>
    <xf numFmtId="0" fontId="6" fillId="20" borderId="59" xfId="0" applyFont="1" applyFill="1" applyBorder="1" applyAlignment="1">
      <alignment horizontal="right"/>
    </xf>
    <xf numFmtId="4" fontId="6" fillId="20" borderId="54" xfId="0" applyNumberFormat="1" applyFont="1" applyFill="1" applyBorder="1" applyAlignment="1">
      <alignment/>
    </xf>
    <xf numFmtId="4" fontId="1" fillId="7" borderId="45" xfId="0" applyNumberFormat="1" applyFont="1" applyFill="1" applyBorder="1" applyAlignment="1">
      <alignment/>
    </xf>
    <xf numFmtId="0" fontId="9" fillId="7" borderId="13" xfId="0" applyFont="1" applyFill="1" applyBorder="1" applyAlignment="1">
      <alignment wrapText="1"/>
    </xf>
    <xf numFmtId="4" fontId="7" fillId="10" borderId="45" xfId="0" applyNumberFormat="1" applyFont="1" applyFill="1" applyBorder="1" applyAlignment="1">
      <alignment horizontal="left" wrapText="1"/>
    </xf>
    <xf numFmtId="4" fontId="5" fillId="10" borderId="13" xfId="0" applyNumberFormat="1" applyFont="1" applyFill="1" applyBorder="1" applyAlignment="1">
      <alignment horizontal="center" wrapText="1"/>
    </xf>
    <xf numFmtId="1" fontId="6" fillId="0" borderId="13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8" fillId="0" borderId="53" xfId="0" applyNumberFormat="1" applyFont="1" applyFill="1" applyBorder="1" applyAlignment="1">
      <alignment horizontal="left" wrapText="1"/>
    </xf>
    <xf numFmtId="4" fontId="6" fillId="0" borderId="18" xfId="0" applyNumberFormat="1" applyFont="1" applyBorder="1" applyAlignment="1">
      <alignment wrapText="1"/>
    </xf>
    <xf numFmtId="4" fontId="8" fillId="0" borderId="26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 wrapText="1"/>
    </xf>
    <xf numFmtId="4" fontId="18" fillId="0" borderId="60" xfId="0" applyNumberFormat="1" applyFont="1" applyFill="1" applyBorder="1" applyAlignment="1">
      <alignment horizontal="left" wrapText="1"/>
    </xf>
    <xf numFmtId="4" fontId="6" fillId="10" borderId="13" xfId="0" applyNumberFormat="1" applyFont="1" applyFill="1" applyBorder="1" applyAlignment="1">
      <alignment horizontal="center" wrapText="1"/>
    </xf>
    <xf numFmtId="4" fontId="6" fillId="10" borderId="53" xfId="0" applyNumberFormat="1" applyFont="1" applyFill="1" applyBorder="1" applyAlignment="1">
      <alignment horizontal="center" wrapText="1"/>
    </xf>
    <xf numFmtId="4" fontId="7" fillId="10" borderId="53" xfId="0" applyNumberFormat="1" applyFont="1" applyFill="1" applyBorder="1" applyAlignment="1">
      <alignment horizontal="left" wrapText="1"/>
    </xf>
    <xf numFmtId="4" fontId="18" fillId="0" borderId="22" xfId="0" applyNumberFormat="1" applyFont="1" applyFill="1" applyBorder="1" applyAlignment="1">
      <alignment horizontal="right" wrapText="1"/>
    </xf>
    <xf numFmtId="4" fontId="1" fillId="0" borderId="53" xfId="0" applyNumberFormat="1" applyFont="1" applyFill="1" applyBorder="1" applyAlignment="1">
      <alignment horizontal="right"/>
    </xf>
    <xf numFmtId="4" fontId="17" fillId="20" borderId="13" xfId="0" applyNumberFormat="1" applyFont="1" applyFill="1" applyBorder="1" applyAlignment="1" quotePrefix="1">
      <alignment horizontal="center" wrapText="1"/>
    </xf>
    <xf numFmtId="4" fontId="17" fillId="20" borderId="15" xfId="0" applyNumberFormat="1" applyFont="1" applyFill="1" applyBorder="1" applyAlignment="1">
      <alignment horizontal="right" wrapText="1"/>
    </xf>
    <xf numFmtId="4" fontId="17" fillId="20" borderId="15" xfId="0" applyNumberFormat="1" applyFont="1" applyFill="1" applyBorder="1" applyAlignment="1">
      <alignment horizontal="center" wrapText="1"/>
    </xf>
    <xf numFmtId="4" fontId="6" fillId="5" borderId="16" xfId="0" applyNumberFormat="1" applyFont="1" applyFill="1" applyBorder="1" applyAlignment="1">
      <alignment wrapText="1"/>
    </xf>
    <xf numFmtId="4" fontId="14" fillId="24" borderId="19" xfId="0" applyNumberFormat="1" applyFont="1" applyFill="1" applyBorder="1" applyAlignment="1">
      <alignment wrapText="1"/>
    </xf>
    <xf numFmtId="4" fontId="17" fillId="0" borderId="16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7" fillId="0" borderId="16" xfId="0" applyNumberFormat="1" applyFont="1" applyFill="1" applyBorder="1" applyAlignment="1">
      <alignment horizontal="center" wrapText="1"/>
    </xf>
    <xf numFmtId="3" fontId="5" fillId="3" borderId="13" xfId="0" applyNumberFormat="1" applyFont="1" applyFill="1" applyBorder="1" applyAlignment="1">
      <alignment horizontal="center" wrapText="1"/>
    </xf>
    <xf numFmtId="3" fontId="6" fillId="0" borderId="18" xfId="0" applyNumberFormat="1" applyFont="1" applyBorder="1" applyAlignment="1">
      <alignment wrapText="1"/>
    </xf>
    <xf numFmtId="3" fontId="18" fillId="0" borderId="0" xfId="0" applyNumberFormat="1" applyFont="1" applyFill="1" applyBorder="1" applyAlignment="1">
      <alignment horizontal="center" wrapText="1"/>
    </xf>
    <xf numFmtId="3" fontId="18" fillId="0" borderId="22" xfId="0" applyNumberFormat="1" applyFont="1" applyFill="1" applyBorder="1" applyAlignment="1">
      <alignment horizontal="left" wrapText="1"/>
    </xf>
    <xf numFmtId="3" fontId="8" fillId="0" borderId="26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7" fillId="5" borderId="13" xfId="0" applyNumberFormat="1" applyFont="1" applyFill="1" applyBorder="1" applyAlignment="1">
      <alignment horizontal="center" wrapText="1"/>
    </xf>
    <xf numFmtId="4" fontId="17" fillId="5" borderId="16" xfId="0" applyNumberFormat="1" applyFont="1" applyFill="1" applyBorder="1" applyAlignment="1">
      <alignment horizontal="center" wrapText="1"/>
    </xf>
    <xf numFmtId="4" fontId="17" fillId="5" borderId="18" xfId="0" applyNumberFormat="1" applyFont="1" applyFill="1" applyBorder="1" applyAlignment="1">
      <alignment horizontal="center" wrapText="1"/>
    </xf>
    <xf numFmtId="4" fontId="6" fillId="5" borderId="18" xfId="0" applyNumberFormat="1" applyFont="1" applyFill="1" applyBorder="1" applyAlignment="1">
      <alignment wrapText="1"/>
    </xf>
    <xf numFmtId="4" fontId="6" fillId="8" borderId="37" xfId="0" applyNumberFormat="1" applyFont="1" applyFill="1" applyBorder="1" applyAlignment="1">
      <alignment/>
    </xf>
    <xf numFmtId="4" fontId="8" fillId="5" borderId="26" xfId="0" applyNumberFormat="1" applyFont="1" applyFill="1" applyBorder="1" applyAlignment="1">
      <alignment/>
    </xf>
    <xf numFmtId="4" fontId="8" fillId="20" borderId="26" xfId="0" applyNumberFormat="1" applyFont="1" applyFill="1" applyBorder="1" applyAlignment="1">
      <alignment horizontal="right"/>
    </xf>
    <xf numFmtId="4" fontId="8" fillId="20" borderId="26" xfId="0" applyNumberFormat="1" applyFont="1" applyFill="1" applyBorder="1" applyAlignment="1">
      <alignment/>
    </xf>
    <xf numFmtId="4" fontId="6" fillId="5" borderId="47" xfId="0" applyNumberFormat="1" applyFont="1" applyFill="1" applyBorder="1" applyAlignment="1">
      <alignment wrapText="1"/>
    </xf>
    <xf numFmtId="4" fontId="5" fillId="5" borderId="16" xfId="0" applyNumberFormat="1" applyFont="1" applyFill="1" applyBorder="1" applyAlignment="1">
      <alignment wrapText="1"/>
    </xf>
    <xf numFmtId="4" fontId="6" fillId="20" borderId="47" xfId="0" applyNumberFormat="1" applyFont="1" applyFill="1" applyBorder="1" applyAlignment="1">
      <alignment wrapText="1"/>
    </xf>
    <xf numFmtId="4" fontId="6" fillId="20" borderId="16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right"/>
    </xf>
    <xf numFmtId="1" fontId="6" fillId="21" borderId="11" xfId="0" applyNumberFormat="1" applyFont="1" applyFill="1" applyBorder="1" applyAlignment="1">
      <alignment horizontal="center" vertical="center" wrapText="1"/>
    </xf>
    <xf numFmtId="4" fontId="6" fillId="21" borderId="37" xfId="0" applyNumberFormat="1" applyFont="1" applyFill="1" applyBorder="1" applyAlignment="1">
      <alignment/>
    </xf>
    <xf numFmtId="4" fontId="6" fillId="24" borderId="56" xfId="0" applyNumberFormat="1" applyFont="1" applyFill="1" applyBorder="1" applyAlignment="1">
      <alignment/>
    </xf>
    <xf numFmtId="4" fontId="1" fillId="24" borderId="56" xfId="0" applyNumberFormat="1" applyFont="1" applyFill="1" applyBorder="1" applyAlignment="1">
      <alignment/>
    </xf>
    <xf numFmtId="4" fontId="6" fillId="24" borderId="54" xfId="0" applyNumberFormat="1" applyFont="1" applyFill="1" applyBorder="1" applyAlignment="1">
      <alignment/>
    </xf>
    <xf numFmtId="0" fontId="43" fillId="5" borderId="13" xfId="0" applyFont="1" applyFill="1" applyBorder="1" applyAlignment="1">
      <alignment horizontal="right"/>
    </xf>
    <xf numFmtId="4" fontId="6" fillId="5" borderId="53" xfId="0" applyNumberFormat="1" applyFont="1" applyFill="1" applyBorder="1" applyAlignment="1">
      <alignment/>
    </xf>
    <xf numFmtId="4" fontId="1" fillId="5" borderId="53" xfId="0" applyNumberFormat="1" applyFont="1" applyFill="1" applyBorder="1" applyAlignment="1">
      <alignment/>
    </xf>
    <xf numFmtId="3" fontId="3" fillId="5" borderId="45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 wrapText="1"/>
    </xf>
    <xf numFmtId="4" fontId="6" fillId="4" borderId="13" xfId="0" applyNumberFormat="1" applyFont="1" applyFill="1" applyBorder="1" applyAlignment="1">
      <alignment/>
    </xf>
    <xf numFmtId="4" fontId="6" fillId="4" borderId="45" xfId="0" applyNumberFormat="1" applyFont="1" applyFill="1" applyBorder="1" applyAlignment="1" quotePrefix="1">
      <alignment horizontal="center"/>
    </xf>
    <xf numFmtId="0" fontId="14" fillId="0" borderId="0" xfId="0" applyFont="1" applyAlignment="1" quotePrefix="1">
      <alignment/>
    </xf>
    <xf numFmtId="164" fontId="11" fillId="0" borderId="13" xfId="0" applyNumberFormat="1" applyFont="1" applyFill="1" applyBorder="1" applyAlignment="1">
      <alignment horizontal="left" wrapText="1"/>
    </xf>
    <xf numFmtId="164" fontId="11" fillId="0" borderId="45" xfId="0" applyNumberFormat="1" applyFont="1" applyFill="1" applyBorder="1" applyAlignment="1">
      <alignment horizontal="left" wrapText="1"/>
    </xf>
    <xf numFmtId="4" fontId="6" fillId="7" borderId="13" xfId="0" applyNumberFormat="1" applyFont="1" applyFill="1" applyBorder="1" applyAlignment="1">
      <alignment horizontal="center"/>
    </xf>
    <xf numFmtId="4" fontId="6" fillId="7" borderId="45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wrapText="1"/>
    </xf>
    <xf numFmtId="4" fontId="18" fillId="0" borderId="13" xfId="0" applyNumberFormat="1" applyFont="1" applyFill="1" applyBorder="1" applyAlignment="1">
      <alignment horizontal="left" wrapText="1"/>
    </xf>
    <xf numFmtId="4" fontId="18" fillId="0" borderId="53" xfId="0" applyNumberFormat="1" applyFont="1" applyFill="1" applyBorder="1" applyAlignment="1">
      <alignment horizontal="left" wrapText="1"/>
    </xf>
    <xf numFmtId="4" fontId="18" fillId="0" borderId="26" xfId="0" applyNumberFormat="1" applyFont="1" applyFill="1" applyBorder="1" applyAlignment="1">
      <alignment horizontal="left" wrapText="1"/>
    </xf>
    <xf numFmtId="4" fontId="18" fillId="0" borderId="22" xfId="0" applyNumberFormat="1" applyFont="1" applyFill="1" applyBorder="1" applyAlignment="1">
      <alignment horizontal="left" wrapText="1"/>
    </xf>
    <xf numFmtId="4" fontId="7" fillId="10" borderId="13" xfId="0" applyNumberFormat="1" applyFont="1" applyFill="1" applyBorder="1" applyAlignment="1">
      <alignment horizontal="left" wrapText="1"/>
    </xf>
    <xf numFmtId="4" fontId="7" fillId="10" borderId="45" xfId="0" applyNumberFormat="1" applyFont="1" applyFill="1" applyBorder="1" applyAlignment="1">
      <alignment horizontal="left" wrapText="1"/>
    </xf>
    <xf numFmtId="164" fontId="8" fillId="7" borderId="26" xfId="0" applyNumberFormat="1" applyFont="1" applyFill="1" applyBorder="1" applyAlignment="1">
      <alignment horizontal="center"/>
    </xf>
    <xf numFmtId="164" fontId="8" fillId="7" borderId="22" xfId="0" applyNumberFormat="1" applyFont="1" applyFill="1" applyBorder="1" applyAlignment="1">
      <alignment horizontal="center"/>
    </xf>
    <xf numFmtId="4" fontId="5" fillId="10" borderId="13" xfId="0" applyNumberFormat="1" applyFont="1" applyFill="1" applyBorder="1" applyAlignment="1">
      <alignment horizontal="center" wrapText="1"/>
    </xf>
    <xf numFmtId="4" fontId="5" fillId="10" borderId="53" xfId="0" applyNumberFormat="1" applyFont="1" applyFill="1" applyBorder="1" applyAlignment="1">
      <alignment horizontal="center" wrapText="1"/>
    </xf>
    <xf numFmtId="4" fontId="18" fillId="0" borderId="42" xfId="0" applyNumberFormat="1" applyFont="1" applyFill="1" applyBorder="1" applyAlignment="1">
      <alignment horizontal="left" wrapText="1"/>
    </xf>
    <xf numFmtId="0" fontId="1" fillId="5" borderId="13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left" wrapText="1"/>
    </xf>
    <xf numFmtId="4" fontId="18" fillId="10" borderId="5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workbookViewId="0" topLeftCell="A1">
      <selection activeCell="AN4" sqref="AN4"/>
    </sheetView>
  </sheetViews>
  <sheetFormatPr defaultColWidth="9.00390625" defaultRowHeight="25.5" customHeight="1"/>
  <cols>
    <col min="1" max="1" width="3.875" style="1" customWidth="1"/>
    <col min="2" max="2" width="29.50390625" style="8" customWidth="1"/>
    <col min="3" max="3" width="10.75390625" style="75" hidden="1" customWidth="1"/>
    <col min="4" max="4" width="8.625" style="2" hidden="1" customWidth="1"/>
    <col min="5" max="5" width="8.75390625" style="2" hidden="1" customWidth="1"/>
    <col min="6" max="6" width="0" style="2" hidden="1" customWidth="1"/>
    <col min="7" max="7" width="9.875" style="2" hidden="1" customWidth="1"/>
    <col min="8" max="8" width="9.875" style="21" hidden="1" customWidth="1"/>
    <col min="9" max="9" width="8.875" style="21" hidden="1" customWidth="1"/>
    <col min="10" max="10" width="8.625" style="75" hidden="1" customWidth="1"/>
    <col min="11" max="11" width="8.75390625" style="21" hidden="1" customWidth="1"/>
    <col min="12" max="12" width="7.75390625" style="73" hidden="1" customWidth="1"/>
    <col min="13" max="13" width="8.625" style="21" hidden="1" customWidth="1"/>
    <col min="14" max="14" width="9.50390625" style="73" hidden="1" customWidth="1"/>
    <col min="15" max="15" width="8.50390625" style="73" hidden="1" customWidth="1"/>
    <col min="16" max="16" width="8.875" style="73" hidden="1" customWidth="1"/>
    <col min="17" max="17" width="9.25390625" style="73" hidden="1" customWidth="1"/>
    <col min="18" max="18" width="8.625" style="8" bestFit="1" customWidth="1"/>
    <col min="19" max="21" width="8.625" style="2" hidden="1" customWidth="1"/>
    <col min="22" max="22" width="8.25390625" style="77" hidden="1" customWidth="1"/>
    <col min="23" max="23" width="8.625" style="98" hidden="1" customWidth="1"/>
    <col min="24" max="24" width="8.625" style="2" hidden="1" customWidth="1"/>
    <col min="25" max="25" width="9.125" style="77" hidden="1" customWidth="1"/>
    <col min="26" max="26" width="8.625" style="77" hidden="1" customWidth="1"/>
    <col min="27" max="27" width="10.375" style="2" hidden="1" customWidth="1"/>
    <col min="28" max="28" width="8.25390625" style="2" hidden="1" customWidth="1"/>
    <col min="29" max="29" width="8.625" style="77" bestFit="1" customWidth="1"/>
    <col min="30" max="30" width="8.875" style="77" customWidth="1"/>
    <col min="31" max="31" width="9.625" style="77" customWidth="1"/>
    <col min="32" max="32" width="8.375" style="380" customWidth="1"/>
    <col min="33" max="33" width="9.00390625" style="380" customWidth="1"/>
    <col min="34" max="34" width="9.00390625" style="77" customWidth="1"/>
    <col min="35" max="35" width="8.75390625" style="77" hidden="1" customWidth="1"/>
    <col min="36" max="36" width="8.00390625" style="77" hidden="1" customWidth="1"/>
    <col min="37" max="37" width="7.25390625" style="77" hidden="1" customWidth="1"/>
    <col min="38" max="38" width="9.625" style="77" customWidth="1"/>
    <col min="39" max="39" width="14.50390625" style="27" customWidth="1"/>
    <col min="40" max="40" width="12.375" style="2" customWidth="1"/>
    <col min="41" max="41" width="9.875" style="1" hidden="1" customWidth="1"/>
    <col min="42" max="42" width="8.75390625" style="2" hidden="1" customWidth="1"/>
    <col min="43" max="16384" width="9.00390625" style="1" customWidth="1"/>
  </cols>
  <sheetData>
    <row r="1" spans="1:42" s="3" customFormat="1" ht="14.25" customHeight="1">
      <c r="A1" s="12" t="s">
        <v>6</v>
      </c>
      <c r="B1" s="12"/>
      <c r="C1" s="74"/>
      <c r="D1" s="13"/>
      <c r="E1" s="13"/>
      <c r="F1" s="13"/>
      <c r="G1" s="13"/>
      <c r="H1" s="20"/>
      <c r="I1" s="20"/>
      <c r="J1" s="74"/>
      <c r="K1" s="20"/>
      <c r="L1" s="79"/>
      <c r="M1" s="20"/>
      <c r="N1" s="79"/>
      <c r="O1" s="79"/>
      <c r="P1" s="79"/>
      <c r="Q1" s="79"/>
      <c r="R1" s="12"/>
      <c r="S1" s="13"/>
      <c r="T1" s="13"/>
      <c r="U1" s="13"/>
      <c r="V1" s="130"/>
      <c r="W1" s="97"/>
      <c r="X1" s="13"/>
      <c r="Y1" s="130"/>
      <c r="Z1" s="130"/>
      <c r="AA1" s="13"/>
      <c r="AB1" s="13"/>
      <c r="AC1" s="130"/>
      <c r="AD1" s="130"/>
      <c r="AE1" s="130"/>
      <c r="AF1" s="379"/>
      <c r="AG1" s="379"/>
      <c r="AH1" s="130"/>
      <c r="AI1" s="130"/>
      <c r="AJ1" s="130"/>
      <c r="AK1" s="130"/>
      <c r="AL1" s="130"/>
      <c r="AM1" s="26"/>
      <c r="AN1" s="13"/>
      <c r="AP1" s="13"/>
    </row>
    <row r="2" ht="43.5" customHeight="1">
      <c r="A2" s="8"/>
    </row>
    <row r="3" spans="1:42" s="3" customFormat="1" ht="19.5" customHeight="1" thickBot="1">
      <c r="A3" s="12" t="s">
        <v>57</v>
      </c>
      <c r="B3" s="12"/>
      <c r="C3" s="74"/>
      <c r="D3" s="13"/>
      <c r="E3" s="13"/>
      <c r="F3" s="13"/>
      <c r="G3" s="13"/>
      <c r="H3" s="20"/>
      <c r="I3" s="20"/>
      <c r="J3" s="74"/>
      <c r="K3" s="20"/>
      <c r="L3" s="79"/>
      <c r="M3" s="20"/>
      <c r="N3" s="79"/>
      <c r="O3" s="79"/>
      <c r="P3" s="79"/>
      <c r="Q3" s="79"/>
      <c r="R3" s="12"/>
      <c r="S3" s="13"/>
      <c r="T3" s="13"/>
      <c r="U3" s="13"/>
      <c r="V3" s="130"/>
      <c r="W3" s="97"/>
      <c r="X3" s="13"/>
      <c r="Y3" s="130"/>
      <c r="Z3" s="130"/>
      <c r="AA3" s="13"/>
      <c r="AB3" s="13"/>
      <c r="AC3" s="130"/>
      <c r="AD3" s="130"/>
      <c r="AE3" s="130"/>
      <c r="AF3" s="379"/>
      <c r="AG3" s="379"/>
      <c r="AH3" s="130"/>
      <c r="AI3" s="130"/>
      <c r="AJ3" s="130"/>
      <c r="AK3" s="130"/>
      <c r="AL3" s="130"/>
      <c r="AM3" s="26"/>
      <c r="AN3" s="13"/>
      <c r="AP3" s="13"/>
    </row>
    <row r="4" spans="1:42" s="9" customFormat="1" ht="60.75" customHeight="1" thickBot="1">
      <c r="A4" s="15" t="s">
        <v>10</v>
      </c>
      <c r="B4" s="155" t="s">
        <v>0</v>
      </c>
      <c r="C4" s="234" t="s">
        <v>46</v>
      </c>
      <c r="D4" s="18" t="s">
        <v>47</v>
      </c>
      <c r="E4" s="38" t="s">
        <v>18</v>
      </c>
      <c r="F4" s="78" t="s">
        <v>48</v>
      </c>
      <c r="G4" s="162" t="s">
        <v>36</v>
      </c>
      <c r="H4" s="18" t="s">
        <v>49</v>
      </c>
      <c r="I4" s="163" t="s">
        <v>50</v>
      </c>
      <c r="J4" s="165" t="s">
        <v>51</v>
      </c>
      <c r="K4" s="38" t="s">
        <v>19</v>
      </c>
      <c r="L4" s="78" t="s">
        <v>52</v>
      </c>
      <c r="M4" s="19" t="s">
        <v>53</v>
      </c>
      <c r="N4" s="38" t="s">
        <v>32</v>
      </c>
      <c r="O4" s="78" t="s">
        <v>85</v>
      </c>
      <c r="P4" s="162" t="s">
        <v>80</v>
      </c>
      <c r="Q4" s="162" t="s">
        <v>81</v>
      </c>
      <c r="R4" s="254" t="s">
        <v>55</v>
      </c>
      <c r="S4" s="188" t="s">
        <v>71</v>
      </c>
      <c r="T4" s="210" t="s">
        <v>40</v>
      </c>
      <c r="U4" s="101" t="s">
        <v>33</v>
      </c>
      <c r="V4" s="78" t="s">
        <v>86</v>
      </c>
      <c r="W4" s="268" t="s">
        <v>72</v>
      </c>
      <c r="X4" s="101" t="s">
        <v>34</v>
      </c>
      <c r="Y4" s="299" t="s">
        <v>93</v>
      </c>
      <c r="Z4" s="269" t="s">
        <v>73</v>
      </c>
      <c r="AA4" s="113" t="s">
        <v>35</v>
      </c>
      <c r="AB4" s="209" t="s">
        <v>94</v>
      </c>
      <c r="AC4" s="254" t="s">
        <v>68</v>
      </c>
      <c r="AD4" s="322" t="s">
        <v>95</v>
      </c>
      <c r="AE4" s="367" t="s">
        <v>111</v>
      </c>
      <c r="AF4" s="217" t="s">
        <v>104</v>
      </c>
      <c r="AG4" s="217" t="s">
        <v>105</v>
      </c>
      <c r="AH4" s="351" t="s">
        <v>106</v>
      </c>
      <c r="AI4" s="322" t="s">
        <v>107</v>
      </c>
      <c r="AJ4" s="322" t="s">
        <v>108</v>
      </c>
      <c r="AK4" s="322" t="s">
        <v>113</v>
      </c>
      <c r="AL4" s="351" t="s">
        <v>110</v>
      </c>
      <c r="AM4" s="166" t="s">
        <v>69</v>
      </c>
      <c r="AN4" s="384" t="s">
        <v>116</v>
      </c>
      <c r="AO4" s="125"/>
      <c r="AP4" s="340" t="s">
        <v>103</v>
      </c>
    </row>
    <row r="5" spans="1:42" s="5" customFormat="1" ht="26.25" customHeight="1">
      <c r="A5" s="4">
        <v>1</v>
      </c>
      <c r="B5" s="156" t="s">
        <v>8</v>
      </c>
      <c r="C5" s="194">
        <v>637585</v>
      </c>
      <c r="D5" s="33">
        <v>83839.09033319999</v>
      </c>
      <c r="E5" s="47">
        <v>44463</v>
      </c>
      <c r="F5" s="33">
        <f>D5-E5</f>
        <v>39376.09033319999</v>
      </c>
      <c r="G5" s="33">
        <v>0</v>
      </c>
      <c r="H5" s="33">
        <v>84798.533457</v>
      </c>
      <c r="I5" s="33">
        <v>0</v>
      </c>
      <c r="J5" s="246">
        <v>84798.533457</v>
      </c>
      <c r="K5" s="47">
        <v>84784</v>
      </c>
      <c r="L5" s="33">
        <f>J5-K5</f>
        <v>14.533456999997725</v>
      </c>
      <c r="M5" s="33">
        <v>84798.53</v>
      </c>
      <c r="N5" s="47">
        <v>84794</v>
      </c>
      <c r="O5" s="33">
        <f>M5-N5</f>
        <v>4.529999999998836</v>
      </c>
      <c r="P5" s="33">
        <f>R5/3</f>
        <v>71347</v>
      </c>
      <c r="Q5" s="33">
        <f>P5*P23/100</f>
        <v>765.9682779537443</v>
      </c>
      <c r="R5" s="85">
        <f>E5+K5+N5</f>
        <v>214041</v>
      </c>
      <c r="S5" s="277">
        <v>80000</v>
      </c>
      <c r="T5" s="189">
        <f>Q5+S5</f>
        <v>80765.96827795374</v>
      </c>
      <c r="U5" s="294">
        <v>80762</v>
      </c>
      <c r="V5" s="23">
        <f>T5-U5</f>
        <v>3.9682779537397437</v>
      </c>
      <c r="W5" s="100">
        <v>80307.21</v>
      </c>
      <c r="X5" s="109">
        <v>80298</v>
      </c>
      <c r="Y5" s="306">
        <f>W5-X5</f>
        <v>9.210000000006403</v>
      </c>
      <c r="Z5" s="177">
        <v>85734.77</v>
      </c>
      <c r="AA5" s="109">
        <v>85733</v>
      </c>
      <c r="AB5" s="94">
        <f>Z5-AA5</f>
        <v>1.7700000000040745</v>
      </c>
      <c r="AC5" s="85">
        <f>U5+X5+AA5</f>
        <v>246793</v>
      </c>
      <c r="AD5" s="228">
        <v>98229.06</v>
      </c>
      <c r="AE5" s="375">
        <v>247097.39</v>
      </c>
      <c r="AF5" s="213">
        <v>85000</v>
      </c>
      <c r="AG5" s="213">
        <v>75000</v>
      </c>
      <c r="AH5" s="377">
        <f>AD5+AF5+AG5</f>
        <v>258229.06</v>
      </c>
      <c r="AI5" s="228">
        <v>80000</v>
      </c>
      <c r="AJ5" s="228">
        <f>AE5-AF5-AG5-AI5</f>
        <v>7097.390000000014</v>
      </c>
      <c r="AK5" s="228">
        <v>0</v>
      </c>
      <c r="AL5" s="377">
        <f>AI5+AJ5+AK5</f>
        <v>87097.39000000001</v>
      </c>
      <c r="AM5" s="170">
        <f>R5+AC5+AH5+AL5</f>
        <v>806160.4500000001</v>
      </c>
      <c r="AN5" s="194">
        <f>R5+AC5</f>
        <v>460834</v>
      </c>
      <c r="AO5" s="306"/>
      <c r="AP5" s="177">
        <f>AN5/6</f>
        <v>76805.66666666667</v>
      </c>
    </row>
    <row r="6" spans="1:42" s="5" customFormat="1" ht="26.25" customHeight="1">
      <c r="A6" s="4">
        <v>2</v>
      </c>
      <c r="B6" s="157" t="s">
        <v>9</v>
      </c>
      <c r="C6" s="195">
        <v>451171</v>
      </c>
      <c r="D6" s="34">
        <f>40008.19+5891.81</f>
        <v>45900</v>
      </c>
      <c r="E6" s="49">
        <v>45900</v>
      </c>
      <c r="F6" s="33">
        <f>D6-E6</f>
        <v>0</v>
      </c>
      <c r="G6" s="33">
        <f>(C6+E6)/13</f>
        <v>38236.230769230766</v>
      </c>
      <c r="H6" s="34">
        <v>40425.887475</v>
      </c>
      <c r="I6" s="33">
        <v>14830.144258813518</v>
      </c>
      <c r="J6" s="247">
        <v>56420.00173381352</v>
      </c>
      <c r="K6" s="47">
        <v>56420</v>
      </c>
      <c r="L6" s="33">
        <f>J6-K6</f>
        <v>0.00173381352215074</v>
      </c>
      <c r="M6" s="34">
        <f>40425.89</f>
        <v>40425.89</v>
      </c>
      <c r="N6" s="47">
        <v>58610</v>
      </c>
      <c r="O6" s="285">
        <f>M6-N6</f>
        <v>-18184.11</v>
      </c>
      <c r="P6" s="33">
        <f>R6/3</f>
        <v>53643.333333333336</v>
      </c>
      <c r="Q6" s="33">
        <f>P6*P23/100</f>
        <v>575.9049666703859</v>
      </c>
      <c r="R6" s="84">
        <f>E6+K6+N6</f>
        <v>160930</v>
      </c>
      <c r="S6" s="278">
        <v>43000</v>
      </c>
      <c r="T6" s="292">
        <f>Q6+S6</f>
        <v>43575.90496667039</v>
      </c>
      <c r="U6" s="294">
        <v>56644</v>
      </c>
      <c r="V6" s="298">
        <f>T6-U6</f>
        <v>-13068.095033329613</v>
      </c>
      <c r="W6" s="100">
        <v>41105.9</v>
      </c>
      <c r="X6" s="86">
        <v>50282</v>
      </c>
      <c r="Y6" s="307">
        <f>W6-X6</f>
        <v>-9176.099999999999</v>
      </c>
      <c r="Z6" s="90">
        <v>44851.91</v>
      </c>
      <c r="AA6" s="86">
        <v>54515</v>
      </c>
      <c r="AB6" s="331">
        <f>Z6-AA6</f>
        <v>-9663.089999999997</v>
      </c>
      <c r="AC6" s="84">
        <f>U6+X6+AA6</f>
        <v>161441</v>
      </c>
      <c r="AD6" s="229">
        <v>51388.27</v>
      </c>
      <c r="AE6" s="354">
        <v>101569.57</v>
      </c>
      <c r="AF6" s="214">
        <v>50000</v>
      </c>
      <c r="AG6" s="214">
        <v>40000</v>
      </c>
      <c r="AH6" s="378">
        <f>AD6+AF6+AG6</f>
        <v>141388.27</v>
      </c>
      <c r="AI6" s="229">
        <f>AE6-AF6-AG6</f>
        <v>11569.570000000007</v>
      </c>
      <c r="AJ6" s="229">
        <v>0</v>
      </c>
      <c r="AK6" s="229">
        <v>0</v>
      </c>
      <c r="AL6" s="378">
        <f>AI6+AJ6+AK6</f>
        <v>11569.570000000007</v>
      </c>
      <c r="AM6" s="169">
        <f>R6+AC6+AH6+AL6</f>
        <v>475328.84</v>
      </c>
      <c r="AN6" s="195">
        <f>R6+AC6</f>
        <v>322371</v>
      </c>
      <c r="AO6" s="25"/>
      <c r="AP6" s="90">
        <f>AN6/6</f>
        <v>53728.5</v>
      </c>
    </row>
    <row r="7" spans="1:42" s="5" customFormat="1" ht="24" customHeight="1">
      <c r="A7" s="4">
        <v>3</v>
      </c>
      <c r="B7" s="118" t="s">
        <v>44</v>
      </c>
      <c r="C7" s="195">
        <v>588645</v>
      </c>
      <c r="D7" s="34">
        <f>20599.31+62630+1705.69</f>
        <v>84935</v>
      </c>
      <c r="E7" s="49">
        <v>84935</v>
      </c>
      <c r="F7" s="33">
        <f>D7-E7</f>
        <v>0</v>
      </c>
      <c r="G7" s="33">
        <f>(C7+E7)/13</f>
        <v>51813.846153846156</v>
      </c>
      <c r="H7" s="34">
        <v>19071.43</v>
      </c>
      <c r="I7" s="33">
        <v>20096.301272557863</v>
      </c>
      <c r="J7" s="247">
        <v>102015.00127255787</v>
      </c>
      <c r="K7" s="47">
        <v>102015</v>
      </c>
      <c r="L7" s="33">
        <f>J7-K7</f>
        <v>0.0012725578708341345</v>
      </c>
      <c r="M7" s="34">
        <f>20777.12-1687.27</f>
        <v>19089.85</v>
      </c>
      <c r="N7" s="47">
        <v>98360</v>
      </c>
      <c r="O7" s="285">
        <f>M7-N7</f>
        <v>-79270.15</v>
      </c>
      <c r="P7" s="33">
        <f>R7/3</f>
        <v>95103.33333333333</v>
      </c>
      <c r="Q7" s="33">
        <f>P7*P23/100</f>
        <v>1021.0119060506294</v>
      </c>
      <c r="R7" s="84">
        <f>E7+K7+N7</f>
        <v>285310</v>
      </c>
      <c r="S7" s="278">
        <v>23000</v>
      </c>
      <c r="T7" s="292">
        <f>Q7+S7+183.99</f>
        <v>24205.00190605063</v>
      </c>
      <c r="U7" s="294">
        <v>107505</v>
      </c>
      <c r="V7" s="298">
        <f>T7-U7</f>
        <v>-83299.99809394937</v>
      </c>
      <c r="W7" s="100">
        <f>21213.26-183.99+2045.73</f>
        <v>23074.999999999996</v>
      </c>
      <c r="X7" s="86">
        <v>136650</v>
      </c>
      <c r="Y7" s="307">
        <f>W7-X7</f>
        <v>-113575</v>
      </c>
      <c r="Z7" s="90">
        <f>23449.06-2045.73</f>
        <v>21403.33</v>
      </c>
      <c r="AA7" s="86">
        <v>104345</v>
      </c>
      <c r="AB7" s="331">
        <f>Z7-AA7</f>
        <v>-82941.67</v>
      </c>
      <c r="AC7" s="84">
        <f>U7+X7+AA7</f>
        <v>348500</v>
      </c>
      <c r="AD7" s="229">
        <v>26866.34</v>
      </c>
      <c r="AE7" s="354">
        <v>52662.63</v>
      </c>
      <c r="AF7" s="214">
        <v>26000</v>
      </c>
      <c r="AG7" s="214">
        <v>20000</v>
      </c>
      <c r="AH7" s="378">
        <f aca="true" t="shared" si="0" ref="AH7:AH19">AD7+AF7+AG7</f>
        <v>72866.34</v>
      </c>
      <c r="AI7" s="229">
        <f aca="true" t="shared" si="1" ref="AI7:AI19">AE7-AF7-AG7</f>
        <v>6662.629999999997</v>
      </c>
      <c r="AJ7" s="229">
        <v>0</v>
      </c>
      <c r="AK7" s="229">
        <v>0</v>
      </c>
      <c r="AL7" s="378">
        <f aca="true" t="shared" si="2" ref="AL7:AL19">AI7+AJ7+AK7</f>
        <v>6662.629999999997</v>
      </c>
      <c r="AM7" s="169">
        <f aca="true" t="shared" si="3" ref="AM7:AM19">R7+AC7+AH7+AL7</f>
        <v>713338.97</v>
      </c>
      <c r="AN7" s="195">
        <f>R7+AC7</f>
        <v>633810</v>
      </c>
      <c r="AO7" s="25"/>
      <c r="AP7" s="90">
        <f>AN7/6</f>
        <v>105635</v>
      </c>
    </row>
    <row r="8" spans="1:42" s="5" customFormat="1" ht="26.25" customHeight="1">
      <c r="A8" s="4">
        <v>4</v>
      </c>
      <c r="B8" s="157" t="s">
        <v>7</v>
      </c>
      <c r="C8" s="195">
        <v>240194</v>
      </c>
      <c r="D8" s="34">
        <f>12085.68+1024.32</f>
        <v>13110</v>
      </c>
      <c r="E8" s="49">
        <v>13110</v>
      </c>
      <c r="F8" s="33">
        <f>D8-E8</f>
        <v>0</v>
      </c>
      <c r="G8" s="33">
        <f>(C8+E8)/13</f>
        <v>19484.923076923078</v>
      </c>
      <c r="H8" s="34">
        <v>11210.74</v>
      </c>
      <c r="I8" s="33">
        <v>7557.340624044654</v>
      </c>
      <c r="J8" s="247">
        <v>20608.000624044653</v>
      </c>
      <c r="K8" s="47">
        <v>20608</v>
      </c>
      <c r="L8" s="33">
        <f>J8-K8</f>
        <v>0.0006240446527954191</v>
      </c>
      <c r="M8" s="34">
        <f>12235.06-1839.92</f>
        <v>10395.14</v>
      </c>
      <c r="N8" s="47">
        <v>10391</v>
      </c>
      <c r="O8" s="33">
        <f>M8-N8</f>
        <v>4.139999999999418</v>
      </c>
      <c r="P8" s="33">
        <f>R8/3</f>
        <v>14703</v>
      </c>
      <c r="Q8" s="33">
        <f>P8*P23/100</f>
        <v>157.8487054922267</v>
      </c>
      <c r="R8" s="84">
        <f>E8+K8+N8</f>
        <v>44109</v>
      </c>
      <c r="S8" s="278">
        <v>13000</v>
      </c>
      <c r="T8" s="292">
        <f>Q8+S8+1307.15</f>
        <v>14464.998705492226</v>
      </c>
      <c r="U8" s="294">
        <v>14465</v>
      </c>
      <c r="V8" s="90">
        <f>T8-U8</f>
        <v>-0.0012945077742188005</v>
      </c>
      <c r="W8" s="100">
        <f>12429.61-1307.15+1103.54</f>
        <v>12226</v>
      </c>
      <c r="X8" s="86">
        <v>12226</v>
      </c>
      <c r="Y8" s="25">
        <f>W8-X8</f>
        <v>0</v>
      </c>
      <c r="Z8" s="90">
        <f>13643.27-1103.54</f>
        <v>12539.73</v>
      </c>
      <c r="AA8" s="86">
        <v>12536</v>
      </c>
      <c r="AB8" s="92">
        <f>Z8-AA8</f>
        <v>3.7299999999995634</v>
      </c>
      <c r="AC8" s="84">
        <f>U8+X8+AA8</f>
        <v>39227</v>
      </c>
      <c r="AD8" s="229">
        <v>15631.53</v>
      </c>
      <c r="AE8" s="354">
        <v>29265.03</v>
      </c>
      <c r="AF8" s="214">
        <v>10000</v>
      </c>
      <c r="AG8" s="214">
        <v>14000</v>
      </c>
      <c r="AH8" s="378">
        <f t="shared" si="0"/>
        <v>39631.53</v>
      </c>
      <c r="AI8" s="229">
        <f t="shared" si="1"/>
        <v>5265.029999999999</v>
      </c>
      <c r="AJ8" s="229">
        <v>0</v>
      </c>
      <c r="AK8" s="229">
        <v>0</v>
      </c>
      <c r="AL8" s="378">
        <f t="shared" si="2"/>
        <v>5265.029999999999</v>
      </c>
      <c r="AM8" s="169">
        <f t="shared" si="3"/>
        <v>128232.56</v>
      </c>
      <c r="AN8" s="195">
        <f>R8+AC8</f>
        <v>83336</v>
      </c>
      <c r="AO8" s="25"/>
      <c r="AP8" s="90">
        <f>AN8/6</f>
        <v>13889.333333333334</v>
      </c>
    </row>
    <row r="9" spans="1:42" s="5" customFormat="1" ht="26.25" customHeight="1">
      <c r="A9" s="4">
        <v>5</v>
      </c>
      <c r="B9" s="157" t="s">
        <v>11</v>
      </c>
      <c r="C9" s="195">
        <v>133985</v>
      </c>
      <c r="D9" s="34">
        <v>6790.668842</v>
      </c>
      <c r="E9" s="49">
        <v>6790</v>
      </c>
      <c r="F9" s="33">
        <f>D9-E9</f>
        <v>0.6688420000000406</v>
      </c>
      <c r="G9" s="33">
        <f>(C9+E9)/13</f>
        <v>10828.846153846154</v>
      </c>
      <c r="H9" s="34">
        <v>6874.60052625</v>
      </c>
      <c r="I9" s="33">
        <v>4200.030897063947</v>
      </c>
      <c r="J9" s="247">
        <v>12245.001423313948</v>
      </c>
      <c r="K9" s="47">
        <v>12245</v>
      </c>
      <c r="L9" s="33">
        <f>J9-K9</f>
        <v>0.0014233139481802937</v>
      </c>
      <c r="M9" s="34">
        <f>6874.6-1095.37</f>
        <v>5779.2300000000005</v>
      </c>
      <c r="N9" s="47">
        <v>6135</v>
      </c>
      <c r="O9" s="285">
        <f>M9-N9</f>
        <v>-355.7699999999995</v>
      </c>
      <c r="P9" s="33">
        <f>R9/3</f>
        <v>8390</v>
      </c>
      <c r="Q9" s="33">
        <f>P9*P23/100</f>
        <v>90.07349786300634</v>
      </c>
      <c r="R9" s="84">
        <f>E9+K9+N9</f>
        <v>25170</v>
      </c>
      <c r="S9" s="278">
        <v>7200</v>
      </c>
      <c r="T9" s="292">
        <f>Q9+S9+724.93</f>
        <v>8015.0034978630065</v>
      </c>
      <c r="U9" s="294">
        <v>8015</v>
      </c>
      <c r="V9" s="90">
        <f>T9-U9</f>
        <v>0.003497863006487023</v>
      </c>
      <c r="W9" s="100">
        <f>6917.14-724.93+617.79</f>
        <v>6810</v>
      </c>
      <c r="X9" s="86">
        <v>6980</v>
      </c>
      <c r="Y9" s="307">
        <f>W9-X9</f>
        <v>-170</v>
      </c>
      <c r="Z9" s="90">
        <f>7574-617.79</f>
        <v>6956.21</v>
      </c>
      <c r="AA9" s="86">
        <v>6945</v>
      </c>
      <c r="AB9" s="92">
        <f>Z9-AA9</f>
        <v>11.210000000000036</v>
      </c>
      <c r="AC9" s="84">
        <f>U9+X9+AA9</f>
        <v>21940</v>
      </c>
      <c r="AD9" s="229">
        <v>8677.78</v>
      </c>
      <c r="AE9" s="354">
        <v>16246.36</v>
      </c>
      <c r="AF9" s="214">
        <v>9000</v>
      </c>
      <c r="AG9" s="229">
        <v>7246.36</v>
      </c>
      <c r="AH9" s="378">
        <f t="shared" si="0"/>
        <v>24924.14</v>
      </c>
      <c r="AI9" s="229">
        <f t="shared" si="1"/>
        <v>0</v>
      </c>
      <c r="AJ9" s="229">
        <v>0</v>
      </c>
      <c r="AK9" s="229">
        <v>0</v>
      </c>
      <c r="AL9" s="378">
        <f t="shared" si="2"/>
        <v>0</v>
      </c>
      <c r="AM9" s="169">
        <f t="shared" si="3"/>
        <v>72034.14</v>
      </c>
      <c r="AN9" s="195">
        <f>R9+AC9</f>
        <v>47110</v>
      </c>
      <c r="AO9" s="25"/>
      <c r="AP9" s="90">
        <f>AN9/6</f>
        <v>7851.666666666667</v>
      </c>
    </row>
    <row r="10" spans="1:42" s="5" customFormat="1" ht="20.25" customHeight="1">
      <c r="A10" s="4"/>
      <c r="B10" s="158" t="s">
        <v>1</v>
      </c>
      <c r="C10" s="50">
        <f aca="true" t="shared" si="4" ref="C10:N10">SUM(C5:C9)</f>
        <v>2051580</v>
      </c>
      <c r="D10" s="50">
        <f t="shared" si="4"/>
        <v>234574.75917520002</v>
      </c>
      <c r="E10" s="50">
        <f t="shared" si="4"/>
        <v>195198</v>
      </c>
      <c r="F10" s="50">
        <f t="shared" si="4"/>
        <v>39376.759175199986</v>
      </c>
      <c r="G10" s="50">
        <f t="shared" si="4"/>
        <v>120363.84615384616</v>
      </c>
      <c r="H10" s="50">
        <f t="shared" si="4"/>
        <v>162381.19145825</v>
      </c>
      <c r="I10" s="50">
        <f t="shared" si="4"/>
        <v>46683.817052479986</v>
      </c>
      <c r="J10" s="50">
        <f t="shared" si="4"/>
        <v>276086.53851072997</v>
      </c>
      <c r="K10" s="50">
        <f t="shared" si="4"/>
        <v>276072</v>
      </c>
      <c r="L10" s="50">
        <f t="shared" si="4"/>
        <v>14.538510729991685</v>
      </c>
      <c r="M10" s="50">
        <f t="shared" si="4"/>
        <v>160488.63999999998</v>
      </c>
      <c r="N10" s="50">
        <f t="shared" si="4"/>
        <v>258290</v>
      </c>
      <c r="O10" s="50">
        <f>O5+O8</f>
        <v>8.669999999998254</v>
      </c>
      <c r="P10" s="50">
        <f aca="true" t="shared" si="5" ref="P10:U10">SUM(P5:P9)</f>
        <v>243186.6666666667</v>
      </c>
      <c r="Q10" s="186">
        <f t="shared" si="5"/>
        <v>2610.8073540299924</v>
      </c>
      <c r="R10" s="186">
        <f t="shared" si="5"/>
        <v>729560</v>
      </c>
      <c r="S10" s="186">
        <f t="shared" si="5"/>
        <v>166200</v>
      </c>
      <c r="T10" s="186">
        <f t="shared" si="5"/>
        <v>171026.87735403</v>
      </c>
      <c r="U10" s="186">
        <f t="shared" si="5"/>
        <v>267391</v>
      </c>
      <c r="V10" s="186">
        <f>V5+V8+V9</f>
        <v>3.970481308972012</v>
      </c>
      <c r="W10" s="50">
        <f>SUM(W5:W9)</f>
        <v>163524.11000000002</v>
      </c>
      <c r="X10" s="50">
        <f>SUM(X5:X9)</f>
        <v>286436</v>
      </c>
      <c r="Y10" s="50">
        <f>Y5</f>
        <v>9.210000000006403</v>
      </c>
      <c r="Z10" s="50">
        <f>SUM(Z5:Z9)</f>
        <v>171485.95</v>
      </c>
      <c r="AA10" s="50">
        <f>SUM(AA5:AA9)</f>
        <v>264074</v>
      </c>
      <c r="AB10" s="50">
        <f>AB5+AB8+AB9</f>
        <v>16.710000000003674</v>
      </c>
      <c r="AC10" s="50">
        <f>SUM(AC5:AC9)</f>
        <v>817901</v>
      </c>
      <c r="AD10" s="50">
        <f>SUM(AD5:AD9)</f>
        <v>200792.97999999998</v>
      </c>
      <c r="AE10" s="50">
        <f aca="true" t="shared" si="6" ref="AE10:AM10">SUM(AE5:AE9)</f>
        <v>446840.98</v>
      </c>
      <c r="AF10" s="50">
        <f t="shared" si="6"/>
        <v>180000</v>
      </c>
      <c r="AG10" s="50">
        <f t="shared" si="6"/>
        <v>156246.36</v>
      </c>
      <c r="AH10" s="50">
        <f t="shared" si="6"/>
        <v>537039.34</v>
      </c>
      <c r="AI10" s="50">
        <f t="shared" si="6"/>
        <v>103497.23000000001</v>
      </c>
      <c r="AJ10" s="50">
        <f t="shared" si="6"/>
        <v>7097.390000000014</v>
      </c>
      <c r="AK10" s="50">
        <f t="shared" si="6"/>
        <v>0</v>
      </c>
      <c r="AL10" s="50">
        <f t="shared" si="6"/>
        <v>110594.62000000002</v>
      </c>
      <c r="AM10" s="50">
        <f t="shared" si="6"/>
        <v>2195094.96</v>
      </c>
      <c r="AN10" s="50">
        <f>SUM(AN5:AN9)</f>
        <v>1547461</v>
      </c>
      <c r="AO10" s="183">
        <f>SUM(AO5:AO9)</f>
        <v>0</v>
      </c>
      <c r="AP10" s="50">
        <f>SUM(AP5:AP9)</f>
        <v>257910.1666666667</v>
      </c>
    </row>
    <row r="11" spans="1:42" s="5" customFormat="1" ht="22.5" customHeight="1">
      <c r="A11" s="4">
        <v>6</v>
      </c>
      <c r="B11" s="62" t="s">
        <v>5</v>
      </c>
      <c r="C11" s="195">
        <v>25500</v>
      </c>
      <c r="D11" s="25">
        <v>2048.173008</v>
      </c>
      <c r="E11" s="40">
        <v>2040</v>
      </c>
      <c r="F11" s="33">
        <f aca="true" t="shared" si="7" ref="F11:F19">D11-E11</f>
        <v>8.173008000000209</v>
      </c>
      <c r="G11" s="33">
        <v>0</v>
      </c>
      <c r="H11" s="25">
        <v>0</v>
      </c>
      <c r="I11" s="24"/>
      <c r="J11" s="247">
        <v>0</v>
      </c>
      <c r="K11" s="47">
        <v>0</v>
      </c>
      <c r="L11" s="33">
        <f aca="true" t="shared" si="8" ref="L11:L19">J11-K11</f>
        <v>0</v>
      </c>
      <c r="M11" s="34">
        <v>0</v>
      </c>
      <c r="N11" s="47">
        <v>0</v>
      </c>
      <c r="O11" s="33">
        <f aca="true" t="shared" si="9" ref="O11:O19">M11-N11</f>
        <v>0</v>
      </c>
      <c r="P11" s="33"/>
      <c r="Q11" s="33"/>
      <c r="R11" s="84">
        <f aca="true" t="shared" si="10" ref="R11:R19">E11+K11+N11</f>
        <v>2040</v>
      </c>
      <c r="S11" s="106">
        <v>0</v>
      </c>
      <c r="T11" s="292">
        <f aca="true" t="shared" si="11" ref="T11:T19">Q11+S11</f>
        <v>0</v>
      </c>
      <c r="U11" s="294"/>
      <c r="V11" s="90">
        <f aca="true" t="shared" si="12" ref="V11:V19">T11-U11</f>
        <v>0</v>
      </c>
      <c r="W11" s="100">
        <v>0</v>
      </c>
      <c r="X11" s="86"/>
      <c r="Y11" s="25">
        <f>W11-X11</f>
        <v>0</v>
      </c>
      <c r="Z11" s="90">
        <f>X11-Y11</f>
        <v>0</v>
      </c>
      <c r="AA11" s="86"/>
      <c r="AB11" s="92">
        <f aca="true" t="shared" si="13" ref="AB11:AB19">Z11-AA11</f>
        <v>0</v>
      </c>
      <c r="AC11" s="84">
        <f aca="true" t="shared" si="14" ref="AC11:AC19">U11+X11+AA11</f>
        <v>0</v>
      </c>
      <c r="AD11" s="229">
        <v>0</v>
      </c>
      <c r="AE11" s="354">
        <v>0</v>
      </c>
      <c r="AF11" s="214"/>
      <c r="AG11" s="214"/>
      <c r="AH11" s="378">
        <f t="shared" si="0"/>
        <v>0</v>
      </c>
      <c r="AI11" s="229"/>
      <c r="AJ11" s="229"/>
      <c r="AK11" s="229"/>
      <c r="AL11" s="378">
        <f t="shared" si="2"/>
        <v>0</v>
      </c>
      <c r="AM11" s="169">
        <f t="shared" si="3"/>
        <v>2040</v>
      </c>
      <c r="AN11" s="195">
        <f aca="true" t="shared" si="15" ref="AN11:AN19">R11+AC11</f>
        <v>2040</v>
      </c>
      <c r="AO11" s="25"/>
      <c r="AP11" s="90">
        <f aca="true" t="shared" si="16" ref="AP11:AP19">AN11/6</f>
        <v>340</v>
      </c>
    </row>
    <row r="12" spans="1:42" s="5" customFormat="1" ht="22.5" customHeight="1">
      <c r="A12" s="4">
        <v>7</v>
      </c>
      <c r="B12" s="62" t="s">
        <v>21</v>
      </c>
      <c r="C12" s="195">
        <v>16020</v>
      </c>
      <c r="D12" s="25">
        <v>1261.57704088</v>
      </c>
      <c r="E12" s="40">
        <v>1260</v>
      </c>
      <c r="F12" s="33">
        <f t="shared" si="7"/>
        <v>1.5770408799999132</v>
      </c>
      <c r="G12" s="33">
        <v>0</v>
      </c>
      <c r="H12" s="25">
        <v>1277.16995055</v>
      </c>
      <c r="I12" s="24"/>
      <c r="J12" s="247">
        <v>1277.16995055</v>
      </c>
      <c r="K12" s="47">
        <v>1260</v>
      </c>
      <c r="L12" s="33">
        <f t="shared" si="8"/>
        <v>17.169950550000067</v>
      </c>
      <c r="M12" s="34">
        <v>1277.17</v>
      </c>
      <c r="N12" s="47">
        <v>1260</v>
      </c>
      <c r="O12" s="33">
        <f t="shared" si="9"/>
        <v>17.170000000000073</v>
      </c>
      <c r="P12" s="33"/>
      <c r="Q12" s="33"/>
      <c r="R12" s="84">
        <f t="shared" si="10"/>
        <v>3780</v>
      </c>
      <c r="S12" s="106">
        <v>1380</v>
      </c>
      <c r="T12" s="292">
        <f t="shared" si="11"/>
        <v>1380</v>
      </c>
      <c r="U12" s="294">
        <v>1380</v>
      </c>
      <c r="V12" s="90">
        <f t="shared" si="12"/>
        <v>0</v>
      </c>
      <c r="W12" s="100">
        <v>1315.28</v>
      </c>
      <c r="X12" s="86">
        <v>1260</v>
      </c>
      <c r="Y12" s="25">
        <f aca="true" t="shared" si="17" ref="Y12:Y19">W12-X12</f>
        <v>55.27999999999997</v>
      </c>
      <c r="Z12" s="90">
        <v>1446.05</v>
      </c>
      <c r="AA12" s="86">
        <v>1440</v>
      </c>
      <c r="AB12" s="92">
        <f t="shared" si="13"/>
        <v>6.0499999999999545</v>
      </c>
      <c r="AC12" s="84">
        <f t="shared" si="14"/>
        <v>4080</v>
      </c>
      <c r="AD12" s="229">
        <v>1656.78</v>
      </c>
      <c r="AE12" s="354">
        <v>3101.8</v>
      </c>
      <c r="AF12" s="214">
        <v>1500</v>
      </c>
      <c r="AG12" s="214">
        <v>1500</v>
      </c>
      <c r="AH12" s="378">
        <f t="shared" si="0"/>
        <v>4656.78</v>
      </c>
      <c r="AI12" s="229">
        <f t="shared" si="1"/>
        <v>101.80000000000018</v>
      </c>
      <c r="AJ12" s="229">
        <v>0</v>
      </c>
      <c r="AK12" s="229">
        <v>0</v>
      </c>
      <c r="AL12" s="378">
        <f t="shared" si="2"/>
        <v>101.80000000000018</v>
      </c>
      <c r="AM12" s="169">
        <f t="shared" si="3"/>
        <v>12618.579999999998</v>
      </c>
      <c r="AN12" s="195">
        <f t="shared" si="15"/>
        <v>7860</v>
      </c>
      <c r="AO12" s="25"/>
      <c r="AP12" s="90">
        <f t="shared" si="16"/>
        <v>1310</v>
      </c>
    </row>
    <row r="13" spans="1:42" s="28" customFormat="1" ht="21" customHeight="1">
      <c r="A13" s="4">
        <v>8</v>
      </c>
      <c r="B13" s="62" t="s">
        <v>22</v>
      </c>
      <c r="C13" s="195">
        <v>6600</v>
      </c>
      <c r="D13" s="25">
        <v>717.34821304</v>
      </c>
      <c r="E13" s="40">
        <v>660</v>
      </c>
      <c r="F13" s="33">
        <f t="shared" si="7"/>
        <v>57.34821304000002</v>
      </c>
      <c r="G13" s="33">
        <v>0</v>
      </c>
      <c r="H13" s="25">
        <v>726.2145331500001</v>
      </c>
      <c r="I13" s="24"/>
      <c r="J13" s="247">
        <v>726.2145331500001</v>
      </c>
      <c r="K13" s="47">
        <v>720</v>
      </c>
      <c r="L13" s="33">
        <f t="shared" si="8"/>
        <v>6.214533150000079</v>
      </c>
      <c r="M13" s="34">
        <v>726.21</v>
      </c>
      <c r="N13" s="47">
        <v>720</v>
      </c>
      <c r="O13" s="33">
        <f t="shared" si="9"/>
        <v>6.210000000000036</v>
      </c>
      <c r="P13" s="33"/>
      <c r="Q13" s="33"/>
      <c r="R13" s="84">
        <f t="shared" si="10"/>
        <v>2100</v>
      </c>
      <c r="S13" s="187">
        <v>780</v>
      </c>
      <c r="T13" s="292">
        <f t="shared" si="11"/>
        <v>780</v>
      </c>
      <c r="U13" s="294">
        <v>600</v>
      </c>
      <c r="V13" s="90">
        <f t="shared" si="12"/>
        <v>180</v>
      </c>
      <c r="W13" s="100">
        <v>752.57</v>
      </c>
      <c r="X13" s="86">
        <v>720</v>
      </c>
      <c r="Y13" s="25">
        <f t="shared" si="17"/>
        <v>32.57000000000005</v>
      </c>
      <c r="Z13" s="90">
        <v>822.24</v>
      </c>
      <c r="AA13" s="110">
        <v>780</v>
      </c>
      <c r="AB13" s="92">
        <f t="shared" si="13"/>
        <v>42.24000000000001</v>
      </c>
      <c r="AC13" s="84">
        <f t="shared" si="14"/>
        <v>2100</v>
      </c>
      <c r="AD13" s="327">
        <v>942.07</v>
      </c>
      <c r="AE13" s="376">
        <v>1763.72</v>
      </c>
      <c r="AF13" s="214">
        <v>840</v>
      </c>
      <c r="AG13" s="214">
        <v>840</v>
      </c>
      <c r="AH13" s="378">
        <f t="shared" si="0"/>
        <v>2622.07</v>
      </c>
      <c r="AI13" s="229">
        <f t="shared" si="1"/>
        <v>83.72000000000003</v>
      </c>
      <c r="AJ13" s="229">
        <v>0</v>
      </c>
      <c r="AK13" s="229">
        <v>0</v>
      </c>
      <c r="AL13" s="378">
        <f t="shared" si="2"/>
        <v>83.72000000000003</v>
      </c>
      <c r="AM13" s="169">
        <f t="shared" si="3"/>
        <v>6905.79</v>
      </c>
      <c r="AN13" s="195">
        <f t="shared" si="15"/>
        <v>4200</v>
      </c>
      <c r="AO13" s="25"/>
      <c r="AP13" s="90">
        <f t="shared" si="16"/>
        <v>700</v>
      </c>
    </row>
    <row r="14" spans="1:42" s="28" customFormat="1" ht="22.5" customHeight="1">
      <c r="A14" s="4">
        <v>9</v>
      </c>
      <c r="B14" s="62" t="s">
        <v>17</v>
      </c>
      <c r="C14" s="195">
        <v>11160</v>
      </c>
      <c r="D14" s="25">
        <v>889.9799380000001</v>
      </c>
      <c r="E14" s="40">
        <v>840</v>
      </c>
      <c r="F14" s="33">
        <f t="shared" si="7"/>
        <v>49.97993800000006</v>
      </c>
      <c r="G14" s="33">
        <v>0</v>
      </c>
      <c r="H14" s="25">
        <v>900.9799612500001</v>
      </c>
      <c r="I14" s="24"/>
      <c r="J14" s="247">
        <v>900.9799612500001</v>
      </c>
      <c r="K14" s="47">
        <v>900</v>
      </c>
      <c r="L14" s="33">
        <f t="shared" si="8"/>
        <v>0.9799612500000876</v>
      </c>
      <c r="M14" s="34">
        <v>900.98</v>
      </c>
      <c r="N14" s="47">
        <v>900</v>
      </c>
      <c r="O14" s="33">
        <f t="shared" si="9"/>
        <v>0.9800000000000182</v>
      </c>
      <c r="P14" s="33"/>
      <c r="Q14" s="33"/>
      <c r="R14" s="84">
        <f t="shared" si="10"/>
        <v>2640</v>
      </c>
      <c r="S14" s="187">
        <v>960</v>
      </c>
      <c r="T14" s="292">
        <f t="shared" si="11"/>
        <v>960</v>
      </c>
      <c r="U14" s="294">
        <v>960</v>
      </c>
      <c r="V14" s="90">
        <f t="shared" si="12"/>
        <v>0</v>
      </c>
      <c r="W14" s="100">
        <v>941.39</v>
      </c>
      <c r="X14" s="86">
        <v>900</v>
      </c>
      <c r="Y14" s="25">
        <f t="shared" si="17"/>
        <v>41.389999999999986</v>
      </c>
      <c r="Z14" s="90">
        <v>1020.11</v>
      </c>
      <c r="AA14" s="110">
        <v>1020</v>
      </c>
      <c r="AB14" s="92">
        <f t="shared" si="13"/>
        <v>0.11000000000001364</v>
      </c>
      <c r="AC14" s="84">
        <f t="shared" si="14"/>
        <v>2880</v>
      </c>
      <c r="AD14" s="327">
        <v>1168.78</v>
      </c>
      <c r="AE14" s="376">
        <v>2188.16</v>
      </c>
      <c r="AF14" s="214">
        <v>960</v>
      </c>
      <c r="AG14" s="214">
        <v>960</v>
      </c>
      <c r="AH14" s="378">
        <f t="shared" si="0"/>
        <v>3088.7799999999997</v>
      </c>
      <c r="AI14" s="229">
        <f t="shared" si="1"/>
        <v>268.15999999999985</v>
      </c>
      <c r="AJ14" s="229">
        <v>0</v>
      </c>
      <c r="AK14" s="229">
        <v>0</v>
      </c>
      <c r="AL14" s="378">
        <f t="shared" si="2"/>
        <v>268.15999999999985</v>
      </c>
      <c r="AM14" s="169">
        <f t="shared" si="3"/>
        <v>8876.939999999999</v>
      </c>
      <c r="AN14" s="195">
        <f t="shared" si="15"/>
        <v>5520</v>
      </c>
      <c r="AO14" s="25"/>
      <c r="AP14" s="90">
        <f t="shared" si="16"/>
        <v>920</v>
      </c>
    </row>
    <row r="15" spans="1:42" s="28" customFormat="1" ht="22.5" customHeight="1">
      <c r="A15" s="4">
        <v>10</v>
      </c>
      <c r="B15" s="62" t="s">
        <v>20</v>
      </c>
      <c r="C15" s="195">
        <v>7260</v>
      </c>
      <c r="D15" s="25">
        <v>724.1754564</v>
      </c>
      <c r="E15" s="40">
        <v>720</v>
      </c>
      <c r="F15" s="33">
        <f t="shared" si="7"/>
        <v>4.17545640000003</v>
      </c>
      <c r="G15" s="33">
        <v>0</v>
      </c>
      <c r="H15" s="25">
        <v>733.12616025</v>
      </c>
      <c r="I15" s="24"/>
      <c r="J15" s="247">
        <v>733.12616025</v>
      </c>
      <c r="K15" s="47">
        <v>720</v>
      </c>
      <c r="L15" s="33">
        <f t="shared" si="8"/>
        <v>13.126160249999998</v>
      </c>
      <c r="M15" s="34">
        <v>733.13</v>
      </c>
      <c r="N15" s="47">
        <v>720</v>
      </c>
      <c r="O15" s="33">
        <f t="shared" si="9"/>
        <v>13.129999999999995</v>
      </c>
      <c r="P15" s="33"/>
      <c r="Q15" s="33"/>
      <c r="R15" s="84">
        <f t="shared" si="10"/>
        <v>2160</v>
      </c>
      <c r="S15" s="187">
        <v>780</v>
      </c>
      <c r="T15" s="292">
        <f t="shared" si="11"/>
        <v>780</v>
      </c>
      <c r="U15" s="294">
        <v>660</v>
      </c>
      <c r="V15" s="90">
        <f t="shared" si="12"/>
        <v>120</v>
      </c>
      <c r="W15" s="100">
        <v>767.16</v>
      </c>
      <c r="X15" s="86">
        <v>720</v>
      </c>
      <c r="Y15" s="25">
        <f t="shared" si="17"/>
        <v>47.15999999999997</v>
      </c>
      <c r="Z15" s="90">
        <v>830.07</v>
      </c>
      <c r="AA15" s="110">
        <v>780</v>
      </c>
      <c r="AB15" s="92">
        <f t="shared" si="13"/>
        <v>50.07000000000005</v>
      </c>
      <c r="AC15" s="84">
        <f t="shared" si="14"/>
        <v>2160</v>
      </c>
      <c r="AD15" s="327">
        <v>951.03</v>
      </c>
      <c r="AE15" s="376">
        <v>1780.51</v>
      </c>
      <c r="AF15" s="214">
        <v>840</v>
      </c>
      <c r="AG15" s="214">
        <v>840</v>
      </c>
      <c r="AH15" s="378">
        <f t="shared" si="0"/>
        <v>2631.0299999999997</v>
      </c>
      <c r="AI15" s="229">
        <f t="shared" si="1"/>
        <v>100.50999999999999</v>
      </c>
      <c r="AJ15" s="229">
        <v>0</v>
      </c>
      <c r="AK15" s="229">
        <v>0</v>
      </c>
      <c r="AL15" s="378">
        <f t="shared" si="2"/>
        <v>100.50999999999999</v>
      </c>
      <c r="AM15" s="169">
        <f t="shared" si="3"/>
        <v>7051.54</v>
      </c>
      <c r="AN15" s="195">
        <f t="shared" si="15"/>
        <v>4320</v>
      </c>
      <c r="AO15" s="25"/>
      <c r="AP15" s="90">
        <f t="shared" si="16"/>
        <v>720</v>
      </c>
    </row>
    <row r="16" spans="1:42" s="5" customFormat="1" ht="23.25" customHeight="1">
      <c r="A16" s="4">
        <v>11</v>
      </c>
      <c r="B16" s="62" t="s">
        <v>23</v>
      </c>
      <c r="C16" s="195">
        <v>28635</v>
      </c>
      <c r="D16" s="25">
        <v>2633.365296</v>
      </c>
      <c r="E16" s="40">
        <v>2610</v>
      </c>
      <c r="F16" s="33">
        <f t="shared" si="7"/>
        <v>23.365295999999944</v>
      </c>
      <c r="G16" s="33">
        <v>0</v>
      </c>
      <c r="H16" s="25">
        <v>2665.9133100000004</v>
      </c>
      <c r="I16" s="25"/>
      <c r="J16" s="247">
        <v>2665.9133100000004</v>
      </c>
      <c r="K16" s="80">
        <v>2640</v>
      </c>
      <c r="L16" s="33">
        <f t="shared" si="8"/>
        <v>25.913310000000365</v>
      </c>
      <c r="M16" s="34">
        <v>2665.91</v>
      </c>
      <c r="N16" s="47">
        <v>2655</v>
      </c>
      <c r="O16" s="33">
        <f t="shared" si="9"/>
        <v>10.909999999999854</v>
      </c>
      <c r="P16" s="33"/>
      <c r="Q16" s="33"/>
      <c r="R16" s="84">
        <f t="shared" si="10"/>
        <v>7905</v>
      </c>
      <c r="S16" s="106">
        <v>2850</v>
      </c>
      <c r="T16" s="292">
        <f t="shared" si="11"/>
        <v>2850</v>
      </c>
      <c r="U16" s="294">
        <v>2655</v>
      </c>
      <c r="V16" s="90">
        <f t="shared" si="12"/>
        <v>195</v>
      </c>
      <c r="W16" s="100">
        <v>2776.02</v>
      </c>
      <c r="X16" s="86">
        <v>2775</v>
      </c>
      <c r="Y16" s="25">
        <f t="shared" si="17"/>
        <v>1.0199999999999818</v>
      </c>
      <c r="Z16" s="90">
        <v>3018.42</v>
      </c>
      <c r="AA16" s="86">
        <v>3015</v>
      </c>
      <c r="AB16" s="92">
        <f t="shared" si="13"/>
        <v>3.4200000000000728</v>
      </c>
      <c r="AC16" s="84">
        <f t="shared" si="14"/>
        <v>8445</v>
      </c>
      <c r="AD16" s="229">
        <v>3458.3</v>
      </c>
      <c r="AE16" s="354">
        <v>6474.56</v>
      </c>
      <c r="AF16" s="214">
        <v>1800</v>
      </c>
      <c r="AG16" s="214">
        <v>1800</v>
      </c>
      <c r="AH16" s="378">
        <f t="shared" si="0"/>
        <v>7058.3</v>
      </c>
      <c r="AI16" s="229">
        <f t="shared" si="1"/>
        <v>2874.5600000000004</v>
      </c>
      <c r="AJ16" s="229">
        <v>0</v>
      </c>
      <c r="AK16" s="229">
        <v>0</v>
      </c>
      <c r="AL16" s="378">
        <f t="shared" si="2"/>
        <v>2874.5600000000004</v>
      </c>
      <c r="AM16" s="169">
        <f t="shared" si="3"/>
        <v>26282.86</v>
      </c>
      <c r="AN16" s="195">
        <f t="shared" si="15"/>
        <v>16350</v>
      </c>
      <c r="AO16" s="25"/>
      <c r="AP16" s="90">
        <f t="shared" si="16"/>
        <v>2725</v>
      </c>
    </row>
    <row r="17" spans="1:42" s="28" customFormat="1" ht="22.5" customHeight="1">
      <c r="A17" s="4">
        <v>12</v>
      </c>
      <c r="B17" s="62" t="s">
        <v>14</v>
      </c>
      <c r="C17" s="195">
        <v>15140</v>
      </c>
      <c r="D17" s="25">
        <v>2292.0031280000003</v>
      </c>
      <c r="E17" s="40">
        <v>1440</v>
      </c>
      <c r="F17" s="33">
        <f t="shared" si="7"/>
        <v>852.0031280000003</v>
      </c>
      <c r="G17" s="33">
        <v>0</v>
      </c>
      <c r="H17" s="25">
        <v>2320.331955</v>
      </c>
      <c r="I17" s="24"/>
      <c r="J17" s="247">
        <v>2320.331955</v>
      </c>
      <c r="K17" s="47">
        <v>2320</v>
      </c>
      <c r="L17" s="33">
        <f t="shared" si="8"/>
        <v>0.33195500000010725</v>
      </c>
      <c r="M17" s="34">
        <v>2320.33</v>
      </c>
      <c r="N17" s="47">
        <v>2300</v>
      </c>
      <c r="O17" s="33">
        <f t="shared" si="9"/>
        <v>20.329999999999927</v>
      </c>
      <c r="P17" s="33"/>
      <c r="Q17" s="33"/>
      <c r="R17" s="84">
        <f t="shared" si="10"/>
        <v>6060</v>
      </c>
      <c r="S17" s="187">
        <v>2500</v>
      </c>
      <c r="T17" s="292">
        <f t="shared" si="11"/>
        <v>2500</v>
      </c>
      <c r="U17" s="294">
        <v>2500</v>
      </c>
      <c r="V17" s="90">
        <f t="shared" si="12"/>
        <v>0</v>
      </c>
      <c r="W17" s="100">
        <v>2396.72</v>
      </c>
      <c r="X17" s="86">
        <v>2360</v>
      </c>
      <c r="Y17" s="25">
        <f t="shared" si="17"/>
        <v>36.7199999999998</v>
      </c>
      <c r="Z17" s="90">
        <v>2627.15</v>
      </c>
      <c r="AA17" s="110">
        <v>2590</v>
      </c>
      <c r="AB17" s="92">
        <f t="shared" si="13"/>
        <v>37.15000000000009</v>
      </c>
      <c r="AC17" s="84">
        <f t="shared" si="14"/>
        <v>7450</v>
      </c>
      <c r="AD17" s="327">
        <v>3010</v>
      </c>
      <c r="AE17" s="376">
        <v>5635.27</v>
      </c>
      <c r="AF17" s="214">
        <v>2500</v>
      </c>
      <c r="AG17" s="214">
        <v>2500</v>
      </c>
      <c r="AH17" s="378">
        <f t="shared" si="0"/>
        <v>8010</v>
      </c>
      <c r="AI17" s="229">
        <f t="shared" si="1"/>
        <v>635.2700000000004</v>
      </c>
      <c r="AJ17" s="229">
        <v>0</v>
      </c>
      <c r="AK17" s="229">
        <v>0</v>
      </c>
      <c r="AL17" s="378">
        <f t="shared" si="2"/>
        <v>635.2700000000004</v>
      </c>
      <c r="AM17" s="169">
        <f t="shared" si="3"/>
        <v>22155.27</v>
      </c>
      <c r="AN17" s="195">
        <f t="shared" si="15"/>
        <v>13510</v>
      </c>
      <c r="AO17" s="25"/>
      <c r="AP17" s="90">
        <f t="shared" si="16"/>
        <v>2251.6666666666665</v>
      </c>
    </row>
    <row r="18" spans="1:42" s="5" customFormat="1" ht="22.5" customHeight="1">
      <c r="A18" s="4">
        <v>13</v>
      </c>
      <c r="B18" s="62" t="s">
        <v>24</v>
      </c>
      <c r="C18" s="195">
        <v>7740</v>
      </c>
      <c r="D18" s="25">
        <v>1414.214696</v>
      </c>
      <c r="E18" s="40">
        <v>720</v>
      </c>
      <c r="F18" s="33">
        <f t="shared" si="7"/>
        <v>694.214696</v>
      </c>
      <c r="G18" s="33">
        <v>0</v>
      </c>
      <c r="H18" s="25">
        <v>1431.694185</v>
      </c>
      <c r="I18" s="24"/>
      <c r="J18" s="247">
        <v>1431.694185</v>
      </c>
      <c r="K18" s="47">
        <v>390</v>
      </c>
      <c r="L18" s="33">
        <f t="shared" si="8"/>
        <v>1041.694185</v>
      </c>
      <c r="M18" s="34">
        <v>1431.69</v>
      </c>
      <c r="N18" s="47">
        <v>660</v>
      </c>
      <c r="O18" s="33">
        <f t="shared" si="9"/>
        <v>771.69</v>
      </c>
      <c r="P18" s="33"/>
      <c r="Q18" s="33"/>
      <c r="R18" s="84">
        <f t="shared" si="10"/>
        <v>1770</v>
      </c>
      <c r="S18" s="106">
        <v>1600</v>
      </c>
      <c r="T18" s="292">
        <f t="shared" si="11"/>
        <v>1600</v>
      </c>
      <c r="U18" s="294">
        <v>660</v>
      </c>
      <c r="V18" s="90">
        <f t="shared" si="12"/>
        <v>940</v>
      </c>
      <c r="W18" s="100">
        <v>1421.38</v>
      </c>
      <c r="X18" s="86">
        <v>480</v>
      </c>
      <c r="Y18" s="25">
        <f t="shared" si="17"/>
        <v>941.3800000000001</v>
      </c>
      <c r="Z18" s="90">
        <v>1621</v>
      </c>
      <c r="AA18" s="86">
        <v>600</v>
      </c>
      <c r="AB18" s="92">
        <f t="shared" si="13"/>
        <v>1021</v>
      </c>
      <c r="AC18" s="84">
        <f t="shared" si="14"/>
        <v>1740</v>
      </c>
      <c r="AD18" s="229">
        <v>1857.24</v>
      </c>
      <c r="AE18" s="354">
        <v>3477.08</v>
      </c>
      <c r="AF18" s="214">
        <v>1200</v>
      </c>
      <c r="AG18" s="214">
        <v>1200</v>
      </c>
      <c r="AH18" s="378">
        <f t="shared" si="0"/>
        <v>4257.24</v>
      </c>
      <c r="AI18" s="229">
        <f t="shared" si="1"/>
        <v>1077.08</v>
      </c>
      <c r="AJ18" s="229">
        <v>0</v>
      </c>
      <c r="AK18" s="229">
        <v>0</v>
      </c>
      <c r="AL18" s="378">
        <f t="shared" si="2"/>
        <v>1077.08</v>
      </c>
      <c r="AM18" s="169">
        <f t="shared" si="3"/>
        <v>8844.32</v>
      </c>
      <c r="AN18" s="195">
        <f t="shared" si="15"/>
        <v>3510</v>
      </c>
      <c r="AO18" s="25"/>
      <c r="AP18" s="90">
        <f t="shared" si="16"/>
        <v>585</v>
      </c>
    </row>
    <row r="19" spans="1:42" s="5" customFormat="1" ht="22.5" customHeight="1" thickBot="1">
      <c r="A19" s="68">
        <v>14</v>
      </c>
      <c r="B19" s="62" t="s">
        <v>25</v>
      </c>
      <c r="C19" s="195">
        <v>39055</v>
      </c>
      <c r="D19" s="31">
        <v>11096.221100960001</v>
      </c>
      <c r="E19" s="41">
        <v>5480</v>
      </c>
      <c r="F19" s="33">
        <f t="shared" si="7"/>
        <v>5616.221100960001</v>
      </c>
      <c r="G19" s="69">
        <v>0</v>
      </c>
      <c r="H19" s="31">
        <v>11233.368788100002</v>
      </c>
      <c r="I19" s="60"/>
      <c r="J19" s="247">
        <v>11233.368788100002</v>
      </c>
      <c r="K19" s="48">
        <v>11005</v>
      </c>
      <c r="L19" s="33">
        <f t="shared" si="8"/>
        <v>228.36878810000235</v>
      </c>
      <c r="M19" s="35">
        <v>11233.38</v>
      </c>
      <c r="N19" s="47">
        <v>10820</v>
      </c>
      <c r="O19" s="33">
        <f t="shared" si="9"/>
        <v>413.3799999999992</v>
      </c>
      <c r="P19" s="33"/>
      <c r="Q19" s="33"/>
      <c r="R19" s="84">
        <f t="shared" si="10"/>
        <v>27305</v>
      </c>
      <c r="S19" s="106">
        <v>12000</v>
      </c>
      <c r="T19" s="292">
        <f t="shared" si="11"/>
        <v>12000</v>
      </c>
      <c r="U19" s="294">
        <v>7850</v>
      </c>
      <c r="V19" s="90">
        <f t="shared" si="12"/>
        <v>4150</v>
      </c>
      <c r="W19" s="100">
        <v>11706.36</v>
      </c>
      <c r="X19" s="86">
        <v>8530</v>
      </c>
      <c r="Y19" s="25">
        <f t="shared" si="17"/>
        <v>3176.3600000000006</v>
      </c>
      <c r="Z19" s="90">
        <v>5378.95</v>
      </c>
      <c r="AA19" s="86">
        <v>5365</v>
      </c>
      <c r="AB19" s="92">
        <f t="shared" si="13"/>
        <v>13.949999999999818</v>
      </c>
      <c r="AC19" s="84">
        <f t="shared" si="14"/>
        <v>21745</v>
      </c>
      <c r="AD19" s="229">
        <v>6162.82</v>
      </c>
      <c r="AE19" s="354">
        <v>11537.92</v>
      </c>
      <c r="AF19" s="214">
        <v>5600</v>
      </c>
      <c r="AG19" s="214">
        <v>5600</v>
      </c>
      <c r="AH19" s="378">
        <f t="shared" si="0"/>
        <v>17362.82</v>
      </c>
      <c r="AI19" s="229">
        <f t="shared" si="1"/>
        <v>337.9200000000001</v>
      </c>
      <c r="AJ19" s="229">
        <v>0</v>
      </c>
      <c r="AK19" s="229">
        <v>0</v>
      </c>
      <c r="AL19" s="378">
        <f t="shared" si="2"/>
        <v>337.9200000000001</v>
      </c>
      <c r="AM19" s="169">
        <f t="shared" si="3"/>
        <v>66750.74</v>
      </c>
      <c r="AN19" s="195">
        <f t="shared" si="15"/>
        <v>49050</v>
      </c>
      <c r="AO19" s="25"/>
      <c r="AP19" s="176">
        <f t="shared" si="16"/>
        <v>8175</v>
      </c>
    </row>
    <row r="20" spans="1:42" s="10" customFormat="1" ht="23.25" customHeight="1">
      <c r="A20" s="70"/>
      <c r="B20" s="159" t="s">
        <v>12</v>
      </c>
      <c r="C20" s="51">
        <f aca="true" t="shared" si="18" ref="C20:AP20">SUM(C11:C19)</f>
        <v>157110</v>
      </c>
      <c r="D20" s="51">
        <f t="shared" si="18"/>
        <v>23077.05787728</v>
      </c>
      <c r="E20" s="51">
        <f t="shared" si="18"/>
        <v>15770</v>
      </c>
      <c r="F20" s="51">
        <f t="shared" si="18"/>
        <v>7307.057877280002</v>
      </c>
      <c r="G20" s="51">
        <f t="shared" si="18"/>
        <v>0</v>
      </c>
      <c r="H20" s="51">
        <f t="shared" si="18"/>
        <v>21288.798843300003</v>
      </c>
      <c r="I20" s="51">
        <f t="shared" si="18"/>
        <v>0</v>
      </c>
      <c r="J20" s="51">
        <f t="shared" si="18"/>
        <v>21288.798843300003</v>
      </c>
      <c r="K20" s="51">
        <f t="shared" si="18"/>
        <v>19955</v>
      </c>
      <c r="L20" s="51">
        <f t="shared" si="18"/>
        <v>1333.7988433000032</v>
      </c>
      <c r="M20" s="51">
        <f t="shared" si="18"/>
        <v>21288.8</v>
      </c>
      <c r="N20" s="184">
        <f t="shared" si="18"/>
        <v>20035</v>
      </c>
      <c r="O20" s="184">
        <f t="shared" si="18"/>
        <v>1253.7999999999993</v>
      </c>
      <c r="P20" s="184">
        <f t="shared" si="18"/>
        <v>0</v>
      </c>
      <c r="Q20" s="184">
        <f t="shared" si="18"/>
        <v>0</v>
      </c>
      <c r="R20" s="252">
        <f t="shared" si="18"/>
        <v>55760</v>
      </c>
      <c r="S20" s="51">
        <f t="shared" si="18"/>
        <v>22850</v>
      </c>
      <c r="T20" s="51">
        <f t="shared" si="18"/>
        <v>22850</v>
      </c>
      <c r="U20" s="51">
        <f t="shared" si="18"/>
        <v>17265</v>
      </c>
      <c r="V20" s="51">
        <f t="shared" si="18"/>
        <v>5585</v>
      </c>
      <c r="W20" s="51">
        <f t="shared" si="18"/>
        <v>22076.88</v>
      </c>
      <c r="X20" s="51">
        <f t="shared" si="18"/>
        <v>17745</v>
      </c>
      <c r="Y20" s="51">
        <f t="shared" si="18"/>
        <v>4331.880000000001</v>
      </c>
      <c r="Z20" s="51">
        <f t="shared" si="18"/>
        <v>16763.99</v>
      </c>
      <c r="AA20" s="51">
        <f t="shared" si="18"/>
        <v>15590</v>
      </c>
      <c r="AB20" s="51">
        <f t="shared" si="18"/>
        <v>1173.99</v>
      </c>
      <c r="AC20" s="51">
        <f t="shared" si="18"/>
        <v>50600</v>
      </c>
      <c r="AD20" s="51">
        <f t="shared" si="18"/>
        <v>19207.019999999997</v>
      </c>
      <c r="AE20" s="51">
        <f aca="true" t="shared" si="19" ref="AE20:AL20">SUM(AE11:AE19)</f>
        <v>35959.02</v>
      </c>
      <c r="AF20" s="51">
        <f t="shared" si="19"/>
        <v>15240</v>
      </c>
      <c r="AG20" s="51">
        <f t="shared" si="19"/>
        <v>15240</v>
      </c>
      <c r="AH20" s="51">
        <f t="shared" si="19"/>
        <v>49687.02</v>
      </c>
      <c r="AI20" s="51">
        <f t="shared" si="19"/>
        <v>5479.02</v>
      </c>
      <c r="AJ20" s="51">
        <f t="shared" si="19"/>
        <v>0</v>
      </c>
      <c r="AK20" s="51">
        <f t="shared" si="19"/>
        <v>0</v>
      </c>
      <c r="AL20" s="51">
        <f t="shared" si="19"/>
        <v>5479.02</v>
      </c>
      <c r="AM20" s="51">
        <f t="shared" si="18"/>
        <v>161526.03999999998</v>
      </c>
      <c r="AN20" s="51">
        <f t="shared" si="18"/>
        <v>106360</v>
      </c>
      <c r="AO20" s="51">
        <f t="shared" si="18"/>
        <v>0</v>
      </c>
      <c r="AP20" s="252">
        <f t="shared" si="18"/>
        <v>17726.666666666664</v>
      </c>
    </row>
    <row r="21" spans="1:42" s="10" customFormat="1" ht="20.25" customHeight="1" thickBot="1">
      <c r="A21" s="71"/>
      <c r="B21" s="160" t="s">
        <v>74</v>
      </c>
      <c r="C21" s="52">
        <f aca="true" t="shared" si="20" ref="C21:AP21">C10+C20</f>
        <v>2208690</v>
      </c>
      <c r="D21" s="52">
        <f t="shared" si="20"/>
        <v>257651.81705248</v>
      </c>
      <c r="E21" s="52">
        <f t="shared" si="20"/>
        <v>210968</v>
      </c>
      <c r="F21" s="198">
        <f t="shared" si="20"/>
        <v>46683.817052479986</v>
      </c>
      <c r="G21" s="52">
        <f t="shared" si="20"/>
        <v>120363.84615384616</v>
      </c>
      <c r="H21" s="52">
        <f t="shared" si="20"/>
        <v>183669.99030155</v>
      </c>
      <c r="I21" s="198">
        <f t="shared" si="20"/>
        <v>46683.817052479986</v>
      </c>
      <c r="J21" s="52">
        <f t="shared" si="20"/>
        <v>297375.33735403</v>
      </c>
      <c r="K21" s="52">
        <f t="shared" si="20"/>
        <v>296027</v>
      </c>
      <c r="L21" s="198">
        <f t="shared" si="20"/>
        <v>1348.337354029995</v>
      </c>
      <c r="M21" s="52">
        <f t="shared" si="20"/>
        <v>181777.43999999997</v>
      </c>
      <c r="N21" s="185">
        <f t="shared" si="20"/>
        <v>278325</v>
      </c>
      <c r="O21" s="288">
        <f t="shared" si="20"/>
        <v>1262.4699999999975</v>
      </c>
      <c r="P21" s="185">
        <f t="shared" si="20"/>
        <v>243186.6666666667</v>
      </c>
      <c r="Q21" s="288">
        <f t="shared" si="20"/>
        <v>2610.8073540299924</v>
      </c>
      <c r="R21" s="52">
        <f t="shared" si="20"/>
        <v>785320</v>
      </c>
      <c r="S21" s="52">
        <f t="shared" si="20"/>
        <v>189050</v>
      </c>
      <c r="T21" s="52">
        <f t="shared" si="20"/>
        <v>193876.87735403</v>
      </c>
      <c r="U21" s="52">
        <f t="shared" si="20"/>
        <v>284656</v>
      </c>
      <c r="V21" s="198">
        <f t="shared" si="20"/>
        <v>5588.970481308972</v>
      </c>
      <c r="W21" s="52">
        <f t="shared" si="20"/>
        <v>185600.99000000002</v>
      </c>
      <c r="X21" s="52">
        <f t="shared" si="20"/>
        <v>304181</v>
      </c>
      <c r="Y21" s="198">
        <f t="shared" si="20"/>
        <v>4341.090000000007</v>
      </c>
      <c r="Z21" s="52">
        <f t="shared" si="20"/>
        <v>188249.94</v>
      </c>
      <c r="AA21" s="52">
        <f t="shared" si="20"/>
        <v>279664</v>
      </c>
      <c r="AB21" s="198">
        <f t="shared" si="20"/>
        <v>1190.7000000000037</v>
      </c>
      <c r="AC21" s="52">
        <f t="shared" si="20"/>
        <v>868501</v>
      </c>
      <c r="AD21" s="52">
        <f t="shared" si="20"/>
        <v>219999.99999999997</v>
      </c>
      <c r="AE21" s="52">
        <f aca="true" t="shared" si="21" ref="AE21:AL21">AE10+AE20</f>
        <v>482800</v>
      </c>
      <c r="AF21" s="52">
        <f t="shared" si="21"/>
        <v>195240</v>
      </c>
      <c r="AG21" s="52">
        <f t="shared" si="21"/>
        <v>171486.36</v>
      </c>
      <c r="AH21" s="52">
        <f t="shared" si="21"/>
        <v>586726.36</v>
      </c>
      <c r="AI21" s="52">
        <f t="shared" si="21"/>
        <v>108976.25000000001</v>
      </c>
      <c r="AJ21" s="52">
        <f t="shared" si="21"/>
        <v>7097.390000000014</v>
      </c>
      <c r="AK21" s="52">
        <f t="shared" si="21"/>
        <v>0</v>
      </c>
      <c r="AL21" s="52">
        <f t="shared" si="21"/>
        <v>116073.64000000003</v>
      </c>
      <c r="AM21" s="52">
        <f t="shared" si="20"/>
        <v>2356621</v>
      </c>
      <c r="AN21" s="52">
        <f t="shared" si="20"/>
        <v>1653821</v>
      </c>
      <c r="AO21" s="52">
        <f t="shared" si="20"/>
        <v>0</v>
      </c>
      <c r="AP21" s="52">
        <f t="shared" si="20"/>
        <v>275636.8333333334</v>
      </c>
    </row>
    <row r="22" spans="1:90" s="83" customFormat="1" ht="34.5" customHeight="1" hidden="1" thickBot="1">
      <c r="A22" s="16"/>
      <c r="B22" s="17"/>
      <c r="C22" s="245" t="s">
        <v>54</v>
      </c>
      <c r="D22" s="244">
        <f>5891.81+62630</f>
        <v>68521.81</v>
      </c>
      <c r="E22" s="272">
        <v>68521.81</v>
      </c>
      <c r="F22" s="168"/>
      <c r="G22" s="164" t="s">
        <v>37</v>
      </c>
      <c r="H22" s="171">
        <f>F21*100/G21</f>
        <v>38.78558100645094</v>
      </c>
      <c r="I22" s="22"/>
      <c r="J22" s="22"/>
      <c r="K22" s="260">
        <f>75+1163.97+61160</f>
        <v>62398.97</v>
      </c>
      <c r="L22" s="259" t="s">
        <v>59</v>
      </c>
      <c r="M22" s="258">
        <f>L21</f>
        <v>1348.337354029995</v>
      </c>
      <c r="N22" s="282" t="s">
        <v>76</v>
      </c>
      <c r="O22" s="286">
        <f>-(O6+O7+O9)</f>
        <v>97810.03</v>
      </c>
      <c r="P22" s="397" t="s">
        <v>83</v>
      </c>
      <c r="Q22" s="398"/>
      <c r="R22" s="235" t="s">
        <v>75</v>
      </c>
      <c r="S22" s="236">
        <v>373100</v>
      </c>
      <c r="U22" s="282" t="s">
        <v>84</v>
      </c>
      <c r="V22" s="304">
        <f>(13068.1+83300)</f>
        <v>96368.1</v>
      </c>
      <c r="W22" s="305"/>
      <c r="X22" s="282" t="s">
        <v>90</v>
      </c>
      <c r="Y22" s="308">
        <f>-(Y6+Y7+Y9)</f>
        <v>122921.1</v>
      </c>
      <c r="Z22" s="316"/>
      <c r="AA22" s="282" t="s">
        <v>97</v>
      </c>
      <c r="AB22" s="308">
        <f>-(AB6+AB7)</f>
        <v>92604.76</v>
      </c>
      <c r="AC22" s="402" t="s">
        <v>99</v>
      </c>
      <c r="AD22" s="403"/>
      <c r="AE22" s="317"/>
      <c r="AF22" s="363"/>
      <c r="AG22" s="363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</row>
    <row r="23" spans="2:42" s="145" customFormat="1" ht="25.5" customHeight="1" hidden="1" thickBot="1">
      <c r="B23" s="146"/>
      <c r="C23" s="147"/>
      <c r="D23" s="87"/>
      <c r="E23" s="87"/>
      <c r="F23" s="87"/>
      <c r="G23" s="87"/>
      <c r="H23" s="148"/>
      <c r="I23" s="148"/>
      <c r="J23" s="147"/>
      <c r="K23" s="148"/>
      <c r="L23" s="399" t="s">
        <v>82</v>
      </c>
      <c r="M23" s="400"/>
      <c r="N23" s="287">
        <f>M22+O21</f>
        <v>2610.8073540299924</v>
      </c>
      <c r="O23" s="164" t="s">
        <v>37</v>
      </c>
      <c r="P23" s="291">
        <f>N23*100/P21</f>
        <v>1.0735816193445333</v>
      </c>
      <c r="Q23" s="148"/>
      <c r="R23" s="146"/>
      <c r="S23" s="87"/>
      <c r="T23" s="87"/>
      <c r="U23" s="193" t="s">
        <v>42</v>
      </c>
      <c r="V23" s="300">
        <f>V21</f>
        <v>5588.970481308972</v>
      </c>
      <c r="W23" s="149"/>
      <c r="X23" s="193" t="s">
        <v>42</v>
      </c>
      <c r="Y23" s="300">
        <f>Y21</f>
        <v>4341.090000000007</v>
      </c>
      <c r="Z23" s="87"/>
      <c r="AA23" s="193" t="s">
        <v>42</v>
      </c>
      <c r="AB23" s="300">
        <f>AB21</f>
        <v>1190.7000000000037</v>
      </c>
      <c r="AC23" s="87"/>
      <c r="AD23" s="87"/>
      <c r="AE23" s="87"/>
      <c r="AF23" s="381"/>
      <c r="AG23" s="381"/>
      <c r="AH23" s="87"/>
      <c r="AI23" s="87"/>
      <c r="AJ23" s="87"/>
      <c r="AK23" s="87"/>
      <c r="AL23" s="193" t="s">
        <v>42</v>
      </c>
      <c r="AM23" s="262">
        <f>AB23+Y23</f>
        <v>5531.790000000011</v>
      </c>
      <c r="AN23" s="87"/>
      <c r="AP23" s="87"/>
    </row>
    <row r="24" spans="2:42" s="129" customFormat="1" ht="12.75" hidden="1">
      <c r="B24" s="150"/>
      <c r="C24" s="121"/>
      <c r="D24" s="37"/>
      <c r="E24" s="37"/>
      <c r="F24" s="37"/>
      <c r="G24" s="37"/>
      <c r="H24" s="121"/>
      <c r="I24" s="121"/>
      <c r="J24" s="43"/>
      <c r="K24" s="121"/>
      <c r="L24" s="121"/>
      <c r="M24" s="121"/>
      <c r="N24" s="121"/>
      <c r="O24" s="121"/>
      <c r="P24" s="121"/>
      <c r="Q24" s="121"/>
      <c r="R24" s="116"/>
      <c r="S24" s="37"/>
      <c r="T24" s="37"/>
      <c r="U24" s="37"/>
      <c r="V24" s="37"/>
      <c r="W24" s="115"/>
      <c r="X24" s="37"/>
      <c r="Y24" s="37"/>
      <c r="Z24" s="37"/>
      <c r="AA24" s="37"/>
      <c r="AB24" s="37"/>
      <c r="AC24" s="37"/>
      <c r="AD24" s="37"/>
      <c r="AE24" s="37"/>
      <c r="AF24" s="366"/>
      <c r="AG24" s="366"/>
      <c r="AH24" s="37"/>
      <c r="AI24" s="37"/>
      <c r="AJ24" s="37"/>
      <c r="AK24" s="37"/>
      <c r="AL24" s="37"/>
      <c r="AM24" s="115"/>
      <c r="AN24" s="37"/>
      <c r="AP24" s="37"/>
    </row>
    <row r="25" spans="2:42" s="129" customFormat="1" ht="12.75" hidden="1">
      <c r="B25" s="151"/>
      <c r="C25" s="152"/>
      <c r="D25" s="37"/>
      <c r="E25" s="37"/>
      <c r="F25" s="37"/>
      <c r="G25" s="37"/>
      <c r="H25" s="121"/>
      <c r="I25" s="121"/>
      <c r="J25" s="43"/>
      <c r="K25" s="121"/>
      <c r="L25" s="121"/>
      <c r="M25" s="121"/>
      <c r="N25" s="121"/>
      <c r="O25" s="121"/>
      <c r="P25" s="121"/>
      <c r="Q25" s="121"/>
      <c r="R25" s="116"/>
      <c r="S25" s="37"/>
      <c r="T25" s="37"/>
      <c r="U25" s="37"/>
      <c r="V25" s="37"/>
      <c r="W25" s="115"/>
      <c r="X25" s="37"/>
      <c r="Y25" s="37"/>
      <c r="Z25" s="37"/>
      <c r="AA25" s="37"/>
      <c r="AB25" s="37"/>
      <c r="AC25" s="37"/>
      <c r="AD25" s="37"/>
      <c r="AE25" s="37"/>
      <c r="AF25" s="366"/>
      <c r="AG25" s="366"/>
      <c r="AH25" s="37"/>
      <c r="AI25" s="37"/>
      <c r="AJ25" s="37"/>
      <c r="AK25" s="37"/>
      <c r="AL25" s="37"/>
      <c r="AM25" s="115"/>
      <c r="AN25" s="37"/>
      <c r="AP25" s="37"/>
    </row>
    <row r="26" spans="2:42" s="129" customFormat="1" ht="12.75" hidden="1">
      <c r="B26" s="116"/>
      <c r="C26" s="43"/>
      <c r="D26" s="37"/>
      <c r="E26" s="37"/>
      <c r="F26" s="37"/>
      <c r="G26" s="37"/>
      <c r="H26" s="121"/>
      <c r="I26" s="121"/>
      <c r="J26" s="43"/>
      <c r="K26" s="121"/>
      <c r="L26" s="121"/>
      <c r="M26" s="121"/>
      <c r="N26" s="121"/>
      <c r="O26" s="121"/>
      <c r="P26" s="121"/>
      <c r="Q26" s="121"/>
      <c r="R26" s="116"/>
      <c r="S26" s="37"/>
      <c r="T26" s="37"/>
      <c r="U26" s="37"/>
      <c r="V26" s="37"/>
      <c r="W26" s="115"/>
      <c r="X26" s="37"/>
      <c r="Y26" s="37"/>
      <c r="Z26" s="37"/>
      <c r="AA26" s="37"/>
      <c r="AB26" s="37"/>
      <c r="AC26" s="37"/>
      <c r="AD26" s="37"/>
      <c r="AE26" s="37"/>
      <c r="AF26" s="366"/>
      <c r="AG26" s="366"/>
      <c r="AH26" s="37"/>
      <c r="AI26" s="37"/>
      <c r="AJ26" s="37"/>
      <c r="AK26" s="37"/>
      <c r="AL26" s="37"/>
      <c r="AM26" s="115"/>
      <c r="AN26" s="37"/>
      <c r="AP26" s="37"/>
    </row>
    <row r="27" spans="2:42" s="129" customFormat="1" ht="12.75" hidden="1">
      <c r="B27" s="120"/>
      <c r="C27" s="119"/>
      <c r="D27" s="138"/>
      <c r="E27" s="138"/>
      <c r="F27" s="119"/>
      <c r="G27" s="119"/>
      <c r="H27" s="139"/>
      <c r="I27" s="139"/>
      <c r="J27" s="119"/>
      <c r="K27" s="139"/>
      <c r="L27" s="139"/>
      <c r="M27" s="139"/>
      <c r="N27" s="139"/>
      <c r="O27" s="139"/>
      <c r="P27" s="139"/>
      <c r="Q27" s="139"/>
      <c r="R27" s="131"/>
      <c r="S27" s="99"/>
      <c r="T27" s="99"/>
      <c r="U27" s="99"/>
      <c r="V27" s="297"/>
      <c r="W27" s="99"/>
      <c r="X27" s="37"/>
      <c r="Y27" s="37"/>
      <c r="Z27" s="37"/>
      <c r="AA27" s="401"/>
      <c r="AB27" s="401"/>
      <c r="AC27" s="122"/>
      <c r="AD27" s="122"/>
      <c r="AE27" s="122"/>
      <c r="AF27" s="382"/>
      <c r="AG27" s="382"/>
      <c r="AH27" s="122"/>
      <c r="AI27" s="122"/>
      <c r="AJ27" s="122"/>
      <c r="AK27" s="122"/>
      <c r="AL27" s="122"/>
      <c r="AM27" s="153"/>
      <c r="AN27" s="154"/>
      <c r="AP27" s="37"/>
    </row>
    <row r="28" spans="2:42" s="129" customFormat="1" ht="15.75" customHeight="1">
      <c r="B28" s="120"/>
      <c r="C28" s="119"/>
      <c r="D28" s="138"/>
      <c r="E28" s="140"/>
      <c r="F28" s="138"/>
      <c r="G28" s="138"/>
      <c r="H28" s="139"/>
      <c r="I28" s="139"/>
      <c r="J28" s="119"/>
      <c r="K28" s="139"/>
      <c r="L28" s="139"/>
      <c r="M28" s="139"/>
      <c r="N28" s="139"/>
      <c r="O28" s="139"/>
      <c r="P28" s="139"/>
      <c r="Q28" s="139"/>
      <c r="R28" s="131"/>
      <c r="S28" s="37"/>
      <c r="T28" s="37"/>
      <c r="U28" s="37"/>
      <c r="V28" s="37"/>
      <c r="W28" s="115"/>
      <c r="X28" s="37"/>
      <c r="Y28" s="37"/>
      <c r="Z28" s="37"/>
      <c r="AA28" s="141"/>
      <c r="AB28" s="142"/>
      <c r="AC28" s="142"/>
      <c r="AD28" s="328"/>
      <c r="AE28" s="328"/>
      <c r="AF28" s="383"/>
      <c r="AG28" s="383"/>
      <c r="AH28" s="328"/>
      <c r="AI28" s="328"/>
      <c r="AJ28" s="328"/>
      <c r="AK28" s="328"/>
      <c r="AL28" s="328"/>
      <c r="AM28" s="131"/>
      <c r="AN28" s="138"/>
      <c r="AP28" s="37"/>
    </row>
    <row r="29" spans="2:42" s="129" customFormat="1" ht="15" customHeight="1">
      <c r="B29" s="143"/>
      <c r="C29" s="119"/>
      <c r="D29" s="138"/>
      <c r="E29" s="138"/>
      <c r="F29" s="138"/>
      <c r="G29" s="138"/>
      <c r="H29" s="139"/>
      <c r="I29" s="139"/>
      <c r="J29" s="119"/>
      <c r="K29" s="138"/>
      <c r="L29" s="139"/>
      <c r="M29" s="139"/>
      <c r="N29" s="139"/>
      <c r="O29" s="139"/>
      <c r="P29" s="139"/>
      <c r="Q29" s="139"/>
      <c r="R29" s="131"/>
      <c r="S29" s="37"/>
      <c r="T29" s="37"/>
      <c r="U29" s="37"/>
      <c r="V29" s="37"/>
      <c r="W29" s="115"/>
      <c r="X29" s="37"/>
      <c r="Y29" s="37"/>
      <c r="Z29" s="37"/>
      <c r="AA29" s="141"/>
      <c r="AB29" s="142"/>
      <c r="AC29" s="142"/>
      <c r="AD29" s="328"/>
      <c r="AE29" s="328"/>
      <c r="AF29" s="383"/>
      <c r="AG29" s="383"/>
      <c r="AH29" s="328"/>
      <c r="AI29" s="328"/>
      <c r="AJ29" s="328"/>
      <c r="AK29" s="328"/>
      <c r="AL29" s="328"/>
      <c r="AM29" s="203"/>
      <c r="AN29" s="138"/>
      <c r="AP29" s="37"/>
    </row>
    <row r="30" spans="2:42" s="129" customFormat="1" ht="17.25" customHeight="1">
      <c r="B30" s="144"/>
      <c r="C30" s="43"/>
      <c r="D30" s="37"/>
      <c r="E30" s="37"/>
      <c r="F30" s="37"/>
      <c r="G30" s="37"/>
      <c r="H30" s="121"/>
      <c r="I30" s="121"/>
      <c r="J30" s="43"/>
      <c r="K30" s="121"/>
      <c r="L30" s="121"/>
      <c r="M30" s="121"/>
      <c r="N30" s="121"/>
      <c r="O30" s="121"/>
      <c r="P30" s="121"/>
      <c r="Q30" s="121"/>
      <c r="R30" s="115"/>
      <c r="S30" s="37"/>
      <c r="T30" s="37"/>
      <c r="U30" s="37"/>
      <c r="V30" s="37"/>
      <c r="W30" s="115"/>
      <c r="X30" s="37"/>
      <c r="Y30" s="37"/>
      <c r="Z30" s="37"/>
      <c r="AA30" s="37"/>
      <c r="AB30" s="37"/>
      <c r="AC30" s="37"/>
      <c r="AD30" s="37"/>
      <c r="AE30" s="37"/>
      <c r="AF30" s="366"/>
      <c r="AG30" s="366"/>
      <c r="AH30" s="37"/>
      <c r="AI30" s="37"/>
      <c r="AJ30" s="37"/>
      <c r="AK30" s="37"/>
      <c r="AL30" s="37"/>
      <c r="AM30" s="131"/>
      <c r="AN30" s="138"/>
      <c r="AP30" s="37"/>
    </row>
    <row r="31" spans="2:42" s="129" customFormat="1" ht="25.5" customHeight="1" hidden="1" thickBot="1">
      <c r="B31" s="116"/>
      <c r="C31" s="43"/>
      <c r="D31" s="37"/>
      <c r="E31" s="37"/>
      <c r="F31" s="37"/>
      <c r="G31" s="37"/>
      <c r="H31" s="121"/>
      <c r="I31" s="121"/>
      <c r="J31" s="43"/>
      <c r="K31" s="121"/>
      <c r="L31" s="121"/>
      <c r="M31" s="121"/>
      <c r="N31" s="121"/>
      <c r="O31" s="121"/>
      <c r="P31" s="121"/>
      <c r="Q31" s="121"/>
      <c r="R31" s="116"/>
      <c r="S31" s="37"/>
      <c r="T31" s="37"/>
      <c r="U31" s="37"/>
      <c r="V31" s="37"/>
      <c r="W31" s="115"/>
      <c r="X31" s="37"/>
      <c r="Y31" s="37"/>
      <c r="Z31" s="37"/>
      <c r="AA31" s="37"/>
      <c r="AB31" s="37"/>
      <c r="AC31" s="37"/>
      <c r="AD31" s="37"/>
      <c r="AE31" s="37"/>
      <c r="AF31" s="366"/>
      <c r="AG31" s="366"/>
      <c r="AH31" s="37"/>
      <c r="AI31" s="37"/>
      <c r="AJ31" s="37"/>
      <c r="AK31" s="37"/>
      <c r="AL31" s="37"/>
      <c r="AM31" s="115"/>
      <c r="AN31" s="37"/>
      <c r="AP31" s="37"/>
    </row>
    <row r="32" spans="2:42" s="129" customFormat="1" ht="25.5" customHeight="1" hidden="1" thickBot="1">
      <c r="B32" s="116"/>
      <c r="C32" s="43"/>
      <c r="D32" s="37"/>
      <c r="E32" s="37"/>
      <c r="F32" s="37"/>
      <c r="G32" s="37"/>
      <c r="H32" s="121"/>
      <c r="I32" s="121"/>
      <c r="J32" s="43"/>
      <c r="K32" s="121"/>
      <c r="L32" s="121"/>
      <c r="M32" s="121"/>
      <c r="N32" s="121"/>
      <c r="O32" s="121"/>
      <c r="P32" s="121"/>
      <c r="Q32" s="121"/>
      <c r="R32" s="116"/>
      <c r="S32" s="37"/>
      <c r="T32" s="37"/>
      <c r="U32" s="37"/>
      <c r="V32" s="37"/>
      <c r="W32" s="115"/>
      <c r="X32" s="37"/>
      <c r="Y32" s="37"/>
      <c r="Z32" s="37"/>
      <c r="AA32" s="37"/>
      <c r="AB32" s="123"/>
      <c r="AC32" s="123"/>
      <c r="AD32" s="123"/>
      <c r="AE32" s="123"/>
      <c r="AF32" s="202"/>
      <c r="AG32" s="202"/>
      <c r="AH32" s="123"/>
      <c r="AI32" s="123"/>
      <c r="AJ32" s="123"/>
      <c r="AK32" s="123"/>
      <c r="AL32" s="123"/>
      <c r="AM32" s="115"/>
      <c r="AN32" s="37"/>
      <c r="AP32" s="37"/>
    </row>
    <row r="33" spans="2:42" s="129" customFormat="1" ht="25.5" customHeight="1" hidden="1">
      <c r="B33" s="116"/>
      <c r="C33" s="43"/>
      <c r="D33" s="37"/>
      <c r="E33" s="37"/>
      <c r="F33" s="37"/>
      <c r="G33" s="37"/>
      <c r="H33" s="121"/>
      <c r="I33" s="121"/>
      <c r="J33" s="43"/>
      <c r="K33" s="121"/>
      <c r="L33" s="121"/>
      <c r="M33" s="121"/>
      <c r="N33" s="121"/>
      <c r="O33" s="121"/>
      <c r="P33" s="121"/>
      <c r="Q33" s="121"/>
      <c r="R33" s="116"/>
      <c r="S33" s="37"/>
      <c r="T33" s="37"/>
      <c r="U33" s="37"/>
      <c r="V33" s="37"/>
      <c r="W33" s="115"/>
      <c r="X33" s="37"/>
      <c r="Y33" s="37"/>
      <c r="Z33" s="37"/>
      <c r="AA33" s="37"/>
      <c r="AB33" s="37"/>
      <c r="AC33" s="37"/>
      <c r="AD33" s="37"/>
      <c r="AE33" s="37"/>
      <c r="AF33" s="366"/>
      <c r="AG33" s="366"/>
      <c r="AH33" s="37"/>
      <c r="AI33" s="37"/>
      <c r="AJ33" s="37"/>
      <c r="AK33" s="37"/>
      <c r="AL33" s="37"/>
      <c r="AM33" s="115"/>
      <c r="AN33" s="37"/>
      <c r="AP33" s="37"/>
    </row>
    <row r="34" spans="2:42" s="129" customFormat="1" ht="25.5" customHeight="1">
      <c r="B34" s="116"/>
      <c r="C34" s="43"/>
      <c r="D34" s="37"/>
      <c r="E34" s="37"/>
      <c r="F34" s="37"/>
      <c r="G34" s="37"/>
      <c r="H34" s="121"/>
      <c r="I34" s="121"/>
      <c r="J34" s="43"/>
      <c r="K34" s="121"/>
      <c r="L34" s="121"/>
      <c r="M34" s="121"/>
      <c r="N34" s="121"/>
      <c r="O34" s="121"/>
      <c r="P34" s="121"/>
      <c r="Q34" s="121"/>
      <c r="R34" s="116"/>
      <c r="S34" s="37"/>
      <c r="T34" s="37"/>
      <c r="U34" s="37"/>
      <c r="V34" s="37"/>
      <c r="W34" s="115"/>
      <c r="X34" s="37"/>
      <c r="Y34" s="37"/>
      <c r="Z34" s="37"/>
      <c r="AA34" s="37"/>
      <c r="AB34" s="37"/>
      <c r="AC34" s="37"/>
      <c r="AD34" s="37"/>
      <c r="AE34" s="37"/>
      <c r="AF34" s="366"/>
      <c r="AG34" s="366"/>
      <c r="AH34" s="37"/>
      <c r="AI34" s="37"/>
      <c r="AJ34" s="37"/>
      <c r="AK34" s="37"/>
      <c r="AL34" s="37"/>
      <c r="AM34" s="115"/>
      <c r="AN34" s="37"/>
      <c r="AP34" s="37"/>
    </row>
    <row r="35" spans="2:42" s="129" customFormat="1" ht="25.5" customHeight="1">
      <c r="B35" s="116"/>
      <c r="C35" s="43"/>
      <c r="D35" s="37"/>
      <c r="E35" s="37"/>
      <c r="F35" s="37"/>
      <c r="G35" s="37"/>
      <c r="H35" s="121"/>
      <c r="I35" s="121"/>
      <c r="J35" s="43"/>
      <c r="K35" s="121"/>
      <c r="L35" s="121"/>
      <c r="M35" s="121"/>
      <c r="N35" s="121"/>
      <c r="O35" s="121"/>
      <c r="P35" s="121"/>
      <c r="Q35" s="121"/>
      <c r="R35" s="116"/>
      <c r="S35" s="37"/>
      <c r="T35" s="37"/>
      <c r="U35" s="37"/>
      <c r="V35" s="37"/>
      <c r="W35" s="115"/>
      <c r="X35" s="37"/>
      <c r="Y35" s="37"/>
      <c r="Z35" s="37"/>
      <c r="AA35" s="37"/>
      <c r="AB35" s="37"/>
      <c r="AC35" s="37"/>
      <c r="AD35" s="37"/>
      <c r="AE35" s="37"/>
      <c r="AF35" s="366"/>
      <c r="AG35" s="366"/>
      <c r="AH35" s="37"/>
      <c r="AI35" s="37"/>
      <c r="AJ35" s="37"/>
      <c r="AK35" s="37"/>
      <c r="AL35" s="37"/>
      <c r="AM35" s="115"/>
      <c r="AN35" s="37"/>
      <c r="AP35" s="37"/>
    </row>
    <row r="36" spans="2:42" s="129" customFormat="1" ht="25.5" customHeight="1">
      <c r="B36" s="116"/>
      <c r="C36" s="43"/>
      <c r="D36" s="37"/>
      <c r="E36" s="37"/>
      <c r="F36" s="37"/>
      <c r="G36" s="37"/>
      <c r="H36" s="121"/>
      <c r="I36" s="121"/>
      <c r="J36" s="43"/>
      <c r="K36" s="121"/>
      <c r="L36" s="121"/>
      <c r="M36" s="121"/>
      <c r="N36" s="121"/>
      <c r="O36" s="121"/>
      <c r="P36" s="121"/>
      <c r="Q36" s="121"/>
      <c r="R36" s="116"/>
      <c r="S36" s="37"/>
      <c r="T36" s="37"/>
      <c r="U36" s="37"/>
      <c r="V36" s="37"/>
      <c r="W36" s="115"/>
      <c r="X36" s="37"/>
      <c r="Y36" s="37"/>
      <c r="Z36" s="37"/>
      <c r="AA36" s="37"/>
      <c r="AB36" s="37"/>
      <c r="AC36" s="37"/>
      <c r="AD36" s="37"/>
      <c r="AE36" s="37"/>
      <c r="AF36" s="366"/>
      <c r="AG36" s="366"/>
      <c r="AH36" s="37"/>
      <c r="AI36" s="37"/>
      <c r="AJ36" s="37"/>
      <c r="AK36" s="37"/>
      <c r="AL36" s="37"/>
      <c r="AM36" s="115"/>
      <c r="AN36" s="37"/>
      <c r="AP36" s="37"/>
    </row>
    <row r="37" spans="2:42" s="129" customFormat="1" ht="25.5" customHeight="1">
      <c r="B37" s="116"/>
      <c r="C37" s="43"/>
      <c r="D37" s="37"/>
      <c r="E37" s="37"/>
      <c r="F37" s="37"/>
      <c r="G37" s="37"/>
      <c r="H37" s="121"/>
      <c r="I37" s="121"/>
      <c r="J37" s="43"/>
      <c r="K37" s="121"/>
      <c r="L37" s="121"/>
      <c r="M37" s="121"/>
      <c r="N37" s="121"/>
      <c r="O37" s="121"/>
      <c r="P37" s="121"/>
      <c r="Q37" s="121"/>
      <c r="R37" s="116"/>
      <c r="S37" s="37"/>
      <c r="T37" s="37"/>
      <c r="U37" s="37"/>
      <c r="V37" s="37"/>
      <c r="W37" s="115"/>
      <c r="X37" s="37"/>
      <c r="Y37" s="37"/>
      <c r="Z37" s="37"/>
      <c r="AA37" s="37"/>
      <c r="AB37" s="37"/>
      <c r="AC37" s="37"/>
      <c r="AD37" s="37"/>
      <c r="AE37" s="37"/>
      <c r="AF37" s="366"/>
      <c r="AG37" s="366"/>
      <c r="AH37" s="37"/>
      <c r="AI37" s="37"/>
      <c r="AJ37" s="37"/>
      <c r="AK37" s="37"/>
      <c r="AL37" s="37"/>
      <c r="AM37" s="115"/>
      <c r="AN37" s="37"/>
      <c r="AP37" s="37"/>
    </row>
    <row r="38" spans="2:42" s="129" customFormat="1" ht="25.5" customHeight="1">
      <c r="B38" s="116"/>
      <c r="C38" s="43"/>
      <c r="D38" s="37"/>
      <c r="E38" s="37"/>
      <c r="F38" s="37"/>
      <c r="G38" s="37"/>
      <c r="H38" s="121"/>
      <c r="I38" s="121"/>
      <c r="J38" s="43"/>
      <c r="K38" s="121"/>
      <c r="L38" s="121"/>
      <c r="M38" s="121"/>
      <c r="N38" s="121"/>
      <c r="O38" s="121"/>
      <c r="P38" s="121"/>
      <c r="Q38" s="121"/>
      <c r="R38" s="116"/>
      <c r="S38" s="37"/>
      <c r="T38" s="37"/>
      <c r="U38" s="37"/>
      <c r="V38" s="37"/>
      <c r="W38" s="115"/>
      <c r="X38" s="37"/>
      <c r="Y38" s="37"/>
      <c r="Z38" s="37"/>
      <c r="AA38" s="37"/>
      <c r="AB38" s="37"/>
      <c r="AC38" s="37"/>
      <c r="AD38" s="37"/>
      <c r="AE38" s="37"/>
      <c r="AF38" s="366"/>
      <c r="AG38" s="366"/>
      <c r="AH38" s="37"/>
      <c r="AI38" s="37"/>
      <c r="AJ38" s="37"/>
      <c r="AK38" s="37"/>
      <c r="AL38" s="37"/>
      <c r="AM38" s="115"/>
      <c r="AN38" s="37"/>
      <c r="AP38" s="37"/>
    </row>
    <row r="39" spans="2:42" s="129" customFormat="1" ht="25.5" customHeight="1">
      <c r="B39" s="116"/>
      <c r="C39" s="43"/>
      <c r="D39" s="37"/>
      <c r="E39" s="37"/>
      <c r="F39" s="37"/>
      <c r="G39" s="37"/>
      <c r="H39" s="121"/>
      <c r="I39" s="121"/>
      <c r="J39" s="43"/>
      <c r="K39" s="121"/>
      <c r="L39" s="121"/>
      <c r="M39" s="121"/>
      <c r="N39" s="121"/>
      <c r="O39" s="121"/>
      <c r="P39" s="121"/>
      <c r="Q39" s="121"/>
      <c r="R39" s="116"/>
      <c r="S39" s="37"/>
      <c r="T39" s="37"/>
      <c r="U39" s="37"/>
      <c r="V39" s="37"/>
      <c r="W39" s="115"/>
      <c r="X39" s="37"/>
      <c r="Y39" s="37"/>
      <c r="Z39" s="37"/>
      <c r="AA39" s="37"/>
      <c r="AB39" s="37"/>
      <c r="AC39" s="37"/>
      <c r="AD39" s="37"/>
      <c r="AE39" s="37"/>
      <c r="AF39" s="366"/>
      <c r="AG39" s="366"/>
      <c r="AH39" s="37"/>
      <c r="AI39" s="37"/>
      <c r="AJ39" s="37"/>
      <c r="AK39" s="37"/>
      <c r="AL39" s="37"/>
      <c r="AM39" s="115"/>
      <c r="AN39" s="37"/>
      <c r="AP39" s="37"/>
    </row>
    <row r="40" spans="2:42" s="129" customFormat="1" ht="25.5" customHeight="1">
      <c r="B40" s="116"/>
      <c r="C40" s="43"/>
      <c r="D40" s="37"/>
      <c r="E40" s="37"/>
      <c r="F40" s="37"/>
      <c r="G40" s="37"/>
      <c r="H40" s="121"/>
      <c r="I40" s="121"/>
      <c r="J40" s="43"/>
      <c r="K40" s="121"/>
      <c r="L40" s="121"/>
      <c r="M40" s="121"/>
      <c r="N40" s="121"/>
      <c r="O40" s="121"/>
      <c r="P40" s="121"/>
      <c r="Q40" s="121"/>
      <c r="R40" s="116"/>
      <c r="S40" s="37"/>
      <c r="T40" s="37"/>
      <c r="U40" s="37"/>
      <c r="V40" s="37"/>
      <c r="W40" s="115"/>
      <c r="X40" s="37"/>
      <c r="Y40" s="37"/>
      <c r="Z40" s="37"/>
      <c r="AA40" s="37"/>
      <c r="AB40" s="37"/>
      <c r="AC40" s="37"/>
      <c r="AD40" s="37"/>
      <c r="AE40" s="37"/>
      <c r="AF40" s="366"/>
      <c r="AG40" s="366"/>
      <c r="AH40" s="37"/>
      <c r="AI40" s="37"/>
      <c r="AJ40" s="37"/>
      <c r="AK40" s="37"/>
      <c r="AL40" s="37"/>
      <c r="AM40" s="115"/>
      <c r="AN40" s="37"/>
      <c r="AP40" s="37"/>
    </row>
    <row r="41" spans="2:42" s="129" customFormat="1" ht="25.5" customHeight="1">
      <c r="B41" s="116"/>
      <c r="C41" s="43"/>
      <c r="D41" s="37"/>
      <c r="E41" s="37"/>
      <c r="F41" s="37"/>
      <c r="G41" s="37"/>
      <c r="H41" s="121"/>
      <c r="I41" s="121"/>
      <c r="J41" s="43"/>
      <c r="K41" s="121"/>
      <c r="L41" s="121"/>
      <c r="M41" s="121"/>
      <c r="N41" s="121"/>
      <c r="O41" s="121"/>
      <c r="P41" s="121"/>
      <c r="Q41" s="121"/>
      <c r="R41" s="116"/>
      <c r="S41" s="37"/>
      <c r="T41" s="37"/>
      <c r="U41" s="37"/>
      <c r="V41" s="37"/>
      <c r="W41" s="115"/>
      <c r="X41" s="37"/>
      <c r="Y41" s="37"/>
      <c r="Z41" s="37"/>
      <c r="AA41" s="37"/>
      <c r="AB41" s="37"/>
      <c r="AC41" s="37"/>
      <c r="AD41" s="37"/>
      <c r="AE41" s="37"/>
      <c r="AF41" s="366"/>
      <c r="AG41" s="366"/>
      <c r="AH41" s="37"/>
      <c r="AI41" s="37"/>
      <c r="AJ41" s="37"/>
      <c r="AK41" s="37"/>
      <c r="AL41" s="37"/>
      <c r="AM41" s="115"/>
      <c r="AN41" s="37"/>
      <c r="AP41" s="37"/>
    </row>
    <row r="42" spans="2:42" s="129" customFormat="1" ht="25.5" customHeight="1">
      <c r="B42" s="116"/>
      <c r="C42" s="43"/>
      <c r="D42" s="37"/>
      <c r="E42" s="37"/>
      <c r="F42" s="37"/>
      <c r="G42" s="37"/>
      <c r="H42" s="121"/>
      <c r="I42" s="121"/>
      <c r="J42" s="43"/>
      <c r="K42" s="121"/>
      <c r="L42" s="121"/>
      <c r="M42" s="121"/>
      <c r="N42" s="121"/>
      <c r="O42" s="121"/>
      <c r="P42" s="121"/>
      <c r="Q42" s="121"/>
      <c r="R42" s="116"/>
      <c r="S42" s="37"/>
      <c r="T42" s="37"/>
      <c r="U42" s="37"/>
      <c r="V42" s="37"/>
      <c r="W42" s="115"/>
      <c r="X42" s="37"/>
      <c r="Y42" s="37"/>
      <c r="Z42" s="37"/>
      <c r="AA42" s="37"/>
      <c r="AB42" s="37"/>
      <c r="AC42" s="37"/>
      <c r="AD42" s="37"/>
      <c r="AE42" s="37"/>
      <c r="AF42" s="366"/>
      <c r="AG42" s="366"/>
      <c r="AH42" s="37"/>
      <c r="AI42" s="37"/>
      <c r="AJ42" s="37"/>
      <c r="AK42" s="37"/>
      <c r="AL42" s="37"/>
      <c r="AM42" s="115"/>
      <c r="AN42" s="37"/>
      <c r="AP42" s="37"/>
    </row>
    <row r="43" spans="2:42" s="129" customFormat="1" ht="25.5" customHeight="1">
      <c r="B43" s="116"/>
      <c r="C43" s="43"/>
      <c r="D43" s="37"/>
      <c r="E43" s="37"/>
      <c r="F43" s="37"/>
      <c r="G43" s="37"/>
      <c r="H43" s="121"/>
      <c r="I43" s="121"/>
      <c r="J43" s="43"/>
      <c r="K43" s="121"/>
      <c r="L43" s="121"/>
      <c r="M43" s="121"/>
      <c r="N43" s="121"/>
      <c r="O43" s="121"/>
      <c r="P43" s="121"/>
      <c r="Q43" s="121"/>
      <c r="R43" s="116"/>
      <c r="S43" s="37"/>
      <c r="T43" s="37"/>
      <c r="U43" s="37"/>
      <c r="V43" s="37"/>
      <c r="W43" s="115"/>
      <c r="X43" s="37"/>
      <c r="Y43" s="37"/>
      <c r="Z43" s="37"/>
      <c r="AA43" s="37"/>
      <c r="AB43" s="37"/>
      <c r="AC43" s="37"/>
      <c r="AD43" s="37"/>
      <c r="AE43" s="37"/>
      <c r="AF43" s="366"/>
      <c r="AG43" s="366"/>
      <c r="AH43" s="37"/>
      <c r="AI43" s="37"/>
      <c r="AJ43" s="37"/>
      <c r="AK43" s="37"/>
      <c r="AL43" s="37"/>
      <c r="AM43" s="115"/>
      <c r="AN43" s="37"/>
      <c r="AP43" s="37"/>
    </row>
    <row r="44" spans="2:42" s="129" customFormat="1" ht="25.5" customHeight="1">
      <c r="B44" s="116"/>
      <c r="C44" s="43"/>
      <c r="D44" s="37"/>
      <c r="E44" s="37"/>
      <c r="F44" s="37"/>
      <c r="G44" s="37"/>
      <c r="H44" s="121"/>
      <c r="I44" s="121"/>
      <c r="J44" s="43"/>
      <c r="K44" s="121"/>
      <c r="L44" s="121"/>
      <c r="M44" s="121"/>
      <c r="N44" s="121"/>
      <c r="O44" s="121"/>
      <c r="P44" s="121"/>
      <c r="Q44" s="121"/>
      <c r="R44" s="116"/>
      <c r="S44" s="37"/>
      <c r="T44" s="37"/>
      <c r="U44" s="37"/>
      <c r="V44" s="37"/>
      <c r="W44" s="115"/>
      <c r="X44" s="37"/>
      <c r="Y44" s="37"/>
      <c r="Z44" s="37"/>
      <c r="AA44" s="37"/>
      <c r="AB44" s="37"/>
      <c r="AC44" s="37"/>
      <c r="AD44" s="37"/>
      <c r="AE44" s="37"/>
      <c r="AF44" s="366"/>
      <c r="AG44" s="366"/>
      <c r="AH44" s="37"/>
      <c r="AI44" s="37"/>
      <c r="AJ44" s="37"/>
      <c r="AK44" s="37"/>
      <c r="AL44" s="37"/>
      <c r="AM44" s="115"/>
      <c r="AN44" s="37"/>
      <c r="AP44" s="37"/>
    </row>
    <row r="45" spans="2:42" s="129" customFormat="1" ht="25.5" customHeight="1">
      <c r="B45" s="116"/>
      <c r="C45" s="43"/>
      <c r="D45" s="37"/>
      <c r="E45" s="37"/>
      <c r="F45" s="37"/>
      <c r="G45" s="37"/>
      <c r="H45" s="121"/>
      <c r="I45" s="121"/>
      <c r="J45" s="43"/>
      <c r="K45" s="121"/>
      <c r="L45" s="121"/>
      <c r="M45" s="121"/>
      <c r="N45" s="121"/>
      <c r="O45" s="121"/>
      <c r="P45" s="121"/>
      <c r="Q45" s="121"/>
      <c r="R45" s="116"/>
      <c r="S45" s="37"/>
      <c r="T45" s="37"/>
      <c r="U45" s="37"/>
      <c r="V45" s="37"/>
      <c r="W45" s="115"/>
      <c r="X45" s="37"/>
      <c r="Y45" s="37"/>
      <c r="Z45" s="37"/>
      <c r="AA45" s="37"/>
      <c r="AB45" s="37"/>
      <c r="AC45" s="37"/>
      <c r="AD45" s="37"/>
      <c r="AE45" s="37"/>
      <c r="AF45" s="366"/>
      <c r="AG45" s="366"/>
      <c r="AH45" s="37"/>
      <c r="AI45" s="37"/>
      <c r="AJ45" s="37"/>
      <c r="AK45" s="37"/>
      <c r="AL45" s="37"/>
      <c r="AM45" s="115"/>
      <c r="AN45" s="37"/>
      <c r="AP45" s="37"/>
    </row>
    <row r="46" spans="2:42" s="129" customFormat="1" ht="25.5" customHeight="1">
      <c r="B46" s="116"/>
      <c r="C46" s="43"/>
      <c r="D46" s="37"/>
      <c r="E46" s="37"/>
      <c r="F46" s="37"/>
      <c r="G46" s="37"/>
      <c r="H46" s="121"/>
      <c r="I46" s="121"/>
      <c r="J46" s="43"/>
      <c r="K46" s="121"/>
      <c r="L46" s="121"/>
      <c r="M46" s="121"/>
      <c r="N46" s="121"/>
      <c r="O46" s="121"/>
      <c r="P46" s="121"/>
      <c r="Q46" s="121"/>
      <c r="R46" s="116"/>
      <c r="S46" s="37"/>
      <c r="T46" s="37"/>
      <c r="U46" s="37"/>
      <c r="V46" s="37"/>
      <c r="W46" s="115"/>
      <c r="X46" s="37"/>
      <c r="Y46" s="37"/>
      <c r="Z46" s="37"/>
      <c r="AA46" s="37"/>
      <c r="AB46" s="37"/>
      <c r="AC46" s="37"/>
      <c r="AD46" s="37"/>
      <c r="AE46" s="37"/>
      <c r="AF46" s="366"/>
      <c r="AG46" s="366"/>
      <c r="AH46" s="37"/>
      <c r="AI46" s="37"/>
      <c r="AJ46" s="37"/>
      <c r="AK46" s="37"/>
      <c r="AL46" s="37"/>
      <c r="AM46" s="115"/>
      <c r="AN46" s="37"/>
      <c r="AP46" s="37"/>
    </row>
    <row r="47" spans="2:42" s="129" customFormat="1" ht="25.5" customHeight="1">
      <c r="B47" s="116"/>
      <c r="C47" s="43"/>
      <c r="D47" s="37"/>
      <c r="E47" s="37"/>
      <c r="F47" s="37"/>
      <c r="G47" s="37"/>
      <c r="H47" s="121"/>
      <c r="I47" s="121"/>
      <c r="J47" s="43"/>
      <c r="K47" s="121"/>
      <c r="L47" s="121"/>
      <c r="M47" s="121"/>
      <c r="N47" s="121"/>
      <c r="O47" s="121"/>
      <c r="P47" s="121"/>
      <c r="Q47" s="121"/>
      <c r="R47" s="116"/>
      <c r="S47" s="37"/>
      <c r="T47" s="37"/>
      <c r="U47" s="37"/>
      <c r="V47" s="37"/>
      <c r="W47" s="115"/>
      <c r="X47" s="37"/>
      <c r="Y47" s="37"/>
      <c r="Z47" s="37"/>
      <c r="AA47" s="37"/>
      <c r="AB47" s="37"/>
      <c r="AC47" s="37"/>
      <c r="AD47" s="37"/>
      <c r="AE47" s="37"/>
      <c r="AF47" s="366"/>
      <c r="AG47" s="366"/>
      <c r="AH47" s="37"/>
      <c r="AI47" s="37"/>
      <c r="AJ47" s="37"/>
      <c r="AK47" s="37"/>
      <c r="AL47" s="37"/>
      <c r="AM47" s="115"/>
      <c r="AN47" s="37"/>
      <c r="AP47" s="37"/>
    </row>
    <row r="48" spans="2:42" s="129" customFormat="1" ht="25.5" customHeight="1">
      <c r="B48" s="116"/>
      <c r="C48" s="43"/>
      <c r="D48" s="37"/>
      <c r="E48" s="37"/>
      <c r="F48" s="37"/>
      <c r="G48" s="37"/>
      <c r="H48" s="121"/>
      <c r="I48" s="121"/>
      <c r="J48" s="43"/>
      <c r="K48" s="121"/>
      <c r="L48" s="121"/>
      <c r="M48" s="121"/>
      <c r="N48" s="121"/>
      <c r="O48" s="121"/>
      <c r="P48" s="121"/>
      <c r="Q48" s="121"/>
      <c r="R48" s="116"/>
      <c r="S48" s="37"/>
      <c r="T48" s="37"/>
      <c r="U48" s="37"/>
      <c r="V48" s="37"/>
      <c r="W48" s="115"/>
      <c r="X48" s="37"/>
      <c r="Y48" s="37"/>
      <c r="Z48" s="37"/>
      <c r="AA48" s="37"/>
      <c r="AB48" s="37"/>
      <c r="AC48" s="37"/>
      <c r="AD48" s="37"/>
      <c r="AE48" s="37"/>
      <c r="AF48" s="366"/>
      <c r="AG48" s="366"/>
      <c r="AH48" s="37"/>
      <c r="AI48" s="37"/>
      <c r="AJ48" s="37"/>
      <c r="AK48" s="37"/>
      <c r="AL48" s="37"/>
      <c r="AM48" s="115"/>
      <c r="AN48" s="37"/>
      <c r="AP48" s="37"/>
    </row>
    <row r="49" spans="2:42" s="129" customFormat="1" ht="25.5" customHeight="1">
      <c r="B49" s="116"/>
      <c r="C49" s="43"/>
      <c r="D49" s="37"/>
      <c r="E49" s="37"/>
      <c r="F49" s="37"/>
      <c r="G49" s="37"/>
      <c r="H49" s="121"/>
      <c r="I49" s="121"/>
      <c r="J49" s="43"/>
      <c r="K49" s="121"/>
      <c r="L49" s="121"/>
      <c r="M49" s="121"/>
      <c r="N49" s="121"/>
      <c r="O49" s="121"/>
      <c r="P49" s="121"/>
      <c r="Q49" s="121"/>
      <c r="R49" s="116"/>
      <c r="S49" s="37"/>
      <c r="T49" s="37"/>
      <c r="U49" s="37"/>
      <c r="V49" s="37"/>
      <c r="W49" s="115"/>
      <c r="X49" s="37"/>
      <c r="Y49" s="37"/>
      <c r="Z49" s="37"/>
      <c r="AA49" s="37"/>
      <c r="AB49" s="37"/>
      <c r="AC49" s="37"/>
      <c r="AD49" s="37"/>
      <c r="AE49" s="37"/>
      <c r="AF49" s="366"/>
      <c r="AG49" s="366"/>
      <c r="AH49" s="37"/>
      <c r="AI49" s="37"/>
      <c r="AJ49" s="37"/>
      <c r="AK49" s="37"/>
      <c r="AL49" s="37"/>
      <c r="AM49" s="115"/>
      <c r="AN49" s="37"/>
      <c r="AP49" s="37"/>
    </row>
    <row r="50" spans="2:42" s="129" customFormat="1" ht="25.5" customHeight="1">
      <c r="B50" s="116"/>
      <c r="C50" s="43"/>
      <c r="D50" s="37"/>
      <c r="E50" s="37"/>
      <c r="F50" s="37"/>
      <c r="G50" s="37"/>
      <c r="H50" s="121"/>
      <c r="I50" s="121"/>
      <c r="J50" s="43"/>
      <c r="K50" s="121"/>
      <c r="L50" s="121"/>
      <c r="M50" s="121"/>
      <c r="N50" s="121"/>
      <c r="O50" s="121"/>
      <c r="P50" s="121"/>
      <c r="Q50" s="121"/>
      <c r="R50" s="116"/>
      <c r="S50" s="37"/>
      <c r="T50" s="37"/>
      <c r="U50" s="37"/>
      <c r="V50" s="37"/>
      <c r="W50" s="115"/>
      <c r="X50" s="37"/>
      <c r="Y50" s="37"/>
      <c r="Z50" s="37"/>
      <c r="AA50" s="37"/>
      <c r="AB50" s="37"/>
      <c r="AC50" s="37"/>
      <c r="AD50" s="37"/>
      <c r="AE50" s="37"/>
      <c r="AF50" s="366"/>
      <c r="AG50" s="366"/>
      <c r="AH50" s="37"/>
      <c r="AI50" s="37"/>
      <c r="AJ50" s="37"/>
      <c r="AK50" s="37"/>
      <c r="AL50" s="37"/>
      <c r="AM50" s="115"/>
      <c r="AN50" s="37"/>
      <c r="AP50" s="37"/>
    </row>
    <row r="51" spans="2:42" s="129" customFormat="1" ht="25.5" customHeight="1">
      <c r="B51" s="116"/>
      <c r="C51" s="43"/>
      <c r="D51" s="37"/>
      <c r="E51" s="37"/>
      <c r="F51" s="37"/>
      <c r="G51" s="37"/>
      <c r="H51" s="121"/>
      <c r="I51" s="121"/>
      <c r="J51" s="43"/>
      <c r="K51" s="121"/>
      <c r="L51" s="121"/>
      <c r="M51" s="121"/>
      <c r="N51" s="121"/>
      <c r="O51" s="121"/>
      <c r="P51" s="121"/>
      <c r="Q51" s="121"/>
      <c r="R51" s="116"/>
      <c r="S51" s="37"/>
      <c r="T51" s="37"/>
      <c r="U51" s="37"/>
      <c r="V51" s="37"/>
      <c r="W51" s="115"/>
      <c r="X51" s="37"/>
      <c r="Y51" s="37"/>
      <c r="Z51" s="37"/>
      <c r="AA51" s="37"/>
      <c r="AB51" s="37"/>
      <c r="AC51" s="37"/>
      <c r="AD51" s="37"/>
      <c r="AE51" s="37"/>
      <c r="AF51" s="366"/>
      <c r="AG51" s="366"/>
      <c r="AH51" s="37"/>
      <c r="AI51" s="37"/>
      <c r="AJ51" s="37"/>
      <c r="AK51" s="37"/>
      <c r="AL51" s="37"/>
      <c r="AM51" s="115"/>
      <c r="AN51" s="37"/>
      <c r="AP51" s="37"/>
    </row>
    <row r="52" spans="2:42" s="129" customFormat="1" ht="25.5" customHeight="1">
      <c r="B52" s="116"/>
      <c r="C52" s="43"/>
      <c r="D52" s="37"/>
      <c r="E52" s="37"/>
      <c r="F52" s="37"/>
      <c r="G52" s="37"/>
      <c r="H52" s="121"/>
      <c r="I52" s="121"/>
      <c r="J52" s="43"/>
      <c r="K52" s="121"/>
      <c r="L52" s="121"/>
      <c r="M52" s="121"/>
      <c r="N52" s="121"/>
      <c r="O52" s="121"/>
      <c r="P52" s="121"/>
      <c r="Q52" s="121"/>
      <c r="R52" s="116"/>
      <c r="S52" s="37"/>
      <c r="T52" s="37"/>
      <c r="U52" s="37"/>
      <c r="V52" s="37"/>
      <c r="W52" s="115"/>
      <c r="X52" s="37"/>
      <c r="Y52" s="37"/>
      <c r="Z52" s="37"/>
      <c r="AA52" s="37"/>
      <c r="AB52" s="37"/>
      <c r="AC52" s="37"/>
      <c r="AD52" s="37"/>
      <c r="AE52" s="37"/>
      <c r="AF52" s="366"/>
      <c r="AG52" s="366"/>
      <c r="AH52" s="37"/>
      <c r="AI52" s="37"/>
      <c r="AJ52" s="37"/>
      <c r="AK52" s="37"/>
      <c r="AL52" s="37"/>
      <c r="AM52" s="115"/>
      <c r="AN52" s="37"/>
      <c r="AP52" s="37"/>
    </row>
    <row r="53" spans="2:42" s="129" customFormat="1" ht="25.5" customHeight="1">
      <c r="B53" s="116"/>
      <c r="C53" s="43"/>
      <c r="D53" s="37"/>
      <c r="E53" s="37"/>
      <c r="F53" s="37"/>
      <c r="G53" s="37"/>
      <c r="H53" s="121"/>
      <c r="I53" s="121"/>
      <c r="J53" s="43"/>
      <c r="K53" s="121"/>
      <c r="L53" s="121"/>
      <c r="M53" s="121"/>
      <c r="N53" s="121"/>
      <c r="O53" s="121"/>
      <c r="P53" s="121"/>
      <c r="Q53" s="121"/>
      <c r="R53" s="116"/>
      <c r="S53" s="37"/>
      <c r="T53" s="37"/>
      <c r="U53" s="37"/>
      <c r="V53" s="37"/>
      <c r="W53" s="115"/>
      <c r="X53" s="37"/>
      <c r="Y53" s="37"/>
      <c r="Z53" s="37"/>
      <c r="AA53" s="37"/>
      <c r="AB53" s="37"/>
      <c r="AC53" s="37"/>
      <c r="AD53" s="37"/>
      <c r="AE53" s="37"/>
      <c r="AF53" s="366"/>
      <c r="AG53" s="366"/>
      <c r="AH53" s="37"/>
      <c r="AI53" s="37"/>
      <c r="AJ53" s="37"/>
      <c r="AK53" s="37"/>
      <c r="AL53" s="37"/>
      <c r="AM53" s="115"/>
      <c r="AN53" s="37"/>
      <c r="AP53" s="37"/>
    </row>
    <row r="54" spans="2:42" s="129" customFormat="1" ht="25.5" customHeight="1">
      <c r="B54" s="116"/>
      <c r="C54" s="43"/>
      <c r="D54" s="37"/>
      <c r="E54" s="37"/>
      <c r="F54" s="37"/>
      <c r="G54" s="37"/>
      <c r="H54" s="121"/>
      <c r="I54" s="121"/>
      <c r="J54" s="43"/>
      <c r="K54" s="121"/>
      <c r="L54" s="121"/>
      <c r="M54" s="121"/>
      <c r="N54" s="121"/>
      <c r="O54" s="121"/>
      <c r="P54" s="121"/>
      <c r="Q54" s="121"/>
      <c r="R54" s="116"/>
      <c r="S54" s="37"/>
      <c r="T54" s="37"/>
      <c r="U54" s="37"/>
      <c r="V54" s="37"/>
      <c r="W54" s="115"/>
      <c r="X54" s="37"/>
      <c r="Y54" s="37"/>
      <c r="Z54" s="37"/>
      <c r="AA54" s="37"/>
      <c r="AB54" s="37"/>
      <c r="AC54" s="37"/>
      <c r="AD54" s="37"/>
      <c r="AE54" s="37"/>
      <c r="AF54" s="366"/>
      <c r="AG54" s="366"/>
      <c r="AH54" s="37"/>
      <c r="AI54" s="37"/>
      <c r="AJ54" s="37"/>
      <c r="AK54" s="37"/>
      <c r="AL54" s="37"/>
      <c r="AM54" s="115"/>
      <c r="AN54" s="37"/>
      <c r="AP54" s="37"/>
    </row>
    <row r="55" spans="2:42" s="129" customFormat="1" ht="25.5" customHeight="1">
      <c r="B55" s="116"/>
      <c r="C55" s="43"/>
      <c r="D55" s="37"/>
      <c r="E55" s="37"/>
      <c r="F55" s="37"/>
      <c r="G55" s="37"/>
      <c r="H55" s="121"/>
      <c r="I55" s="121"/>
      <c r="J55" s="43"/>
      <c r="K55" s="121"/>
      <c r="L55" s="121"/>
      <c r="M55" s="121"/>
      <c r="N55" s="121"/>
      <c r="O55" s="121"/>
      <c r="P55" s="121"/>
      <c r="Q55" s="121"/>
      <c r="R55" s="116"/>
      <c r="S55" s="37"/>
      <c r="T55" s="37"/>
      <c r="U55" s="37"/>
      <c r="V55" s="37"/>
      <c r="W55" s="115"/>
      <c r="X55" s="37"/>
      <c r="Y55" s="37"/>
      <c r="Z55" s="37"/>
      <c r="AA55" s="37"/>
      <c r="AB55" s="37"/>
      <c r="AC55" s="37"/>
      <c r="AD55" s="37"/>
      <c r="AE55" s="37"/>
      <c r="AF55" s="366"/>
      <c r="AG55" s="366"/>
      <c r="AH55" s="37"/>
      <c r="AI55" s="37"/>
      <c r="AJ55" s="37"/>
      <c r="AK55" s="37"/>
      <c r="AL55" s="37"/>
      <c r="AM55" s="115"/>
      <c r="AN55" s="37"/>
      <c r="AP55" s="37"/>
    </row>
    <row r="56" spans="2:42" s="129" customFormat="1" ht="25.5" customHeight="1">
      <c r="B56" s="116"/>
      <c r="C56" s="43"/>
      <c r="D56" s="37"/>
      <c r="E56" s="37"/>
      <c r="F56" s="37"/>
      <c r="G56" s="37"/>
      <c r="H56" s="121"/>
      <c r="I56" s="121"/>
      <c r="J56" s="43"/>
      <c r="K56" s="121"/>
      <c r="L56" s="121"/>
      <c r="M56" s="121"/>
      <c r="N56" s="121"/>
      <c r="O56" s="121"/>
      <c r="P56" s="121"/>
      <c r="Q56" s="121"/>
      <c r="R56" s="116"/>
      <c r="S56" s="37"/>
      <c r="T56" s="37"/>
      <c r="U56" s="37"/>
      <c r="V56" s="37"/>
      <c r="W56" s="115"/>
      <c r="X56" s="37"/>
      <c r="Y56" s="37"/>
      <c r="Z56" s="37"/>
      <c r="AA56" s="37"/>
      <c r="AB56" s="37"/>
      <c r="AC56" s="37"/>
      <c r="AD56" s="37"/>
      <c r="AE56" s="37"/>
      <c r="AF56" s="366"/>
      <c r="AG56" s="366"/>
      <c r="AH56" s="37"/>
      <c r="AI56" s="37"/>
      <c r="AJ56" s="37"/>
      <c r="AK56" s="37"/>
      <c r="AL56" s="37"/>
      <c r="AM56" s="115"/>
      <c r="AN56" s="37"/>
      <c r="AP56" s="37"/>
    </row>
    <row r="57" spans="2:42" s="129" customFormat="1" ht="25.5" customHeight="1">
      <c r="B57" s="116"/>
      <c r="C57" s="43"/>
      <c r="D57" s="37"/>
      <c r="E57" s="37"/>
      <c r="F57" s="37"/>
      <c r="G57" s="37"/>
      <c r="H57" s="121"/>
      <c r="I57" s="121"/>
      <c r="J57" s="43"/>
      <c r="K57" s="121"/>
      <c r="L57" s="121"/>
      <c r="M57" s="121"/>
      <c r="N57" s="121"/>
      <c r="O57" s="121"/>
      <c r="P57" s="121"/>
      <c r="Q57" s="121"/>
      <c r="R57" s="116"/>
      <c r="S57" s="37"/>
      <c r="T57" s="37"/>
      <c r="U57" s="37"/>
      <c r="V57" s="37"/>
      <c r="W57" s="115"/>
      <c r="X57" s="37"/>
      <c r="Y57" s="37"/>
      <c r="Z57" s="37"/>
      <c r="AA57" s="37"/>
      <c r="AB57" s="37"/>
      <c r="AC57" s="37"/>
      <c r="AD57" s="37"/>
      <c r="AE57" s="37"/>
      <c r="AF57" s="366"/>
      <c r="AG57" s="366"/>
      <c r="AH57" s="37"/>
      <c r="AI57" s="37"/>
      <c r="AJ57" s="37"/>
      <c r="AK57" s="37"/>
      <c r="AL57" s="37"/>
      <c r="AM57" s="115"/>
      <c r="AN57" s="37"/>
      <c r="AP57" s="37"/>
    </row>
    <row r="58" spans="2:42" s="129" customFormat="1" ht="25.5" customHeight="1">
      <c r="B58" s="116"/>
      <c r="C58" s="43"/>
      <c r="D58" s="37"/>
      <c r="E58" s="37"/>
      <c r="F58" s="37"/>
      <c r="G58" s="37"/>
      <c r="H58" s="121"/>
      <c r="I58" s="121"/>
      <c r="J58" s="43"/>
      <c r="K58" s="121"/>
      <c r="L58" s="121"/>
      <c r="M58" s="121"/>
      <c r="N58" s="121"/>
      <c r="O58" s="121"/>
      <c r="P58" s="121"/>
      <c r="Q58" s="121"/>
      <c r="R58" s="116"/>
      <c r="S58" s="37"/>
      <c r="T58" s="37"/>
      <c r="U58" s="37"/>
      <c r="V58" s="37"/>
      <c r="W58" s="115"/>
      <c r="X58" s="37"/>
      <c r="Y58" s="37"/>
      <c r="Z58" s="37"/>
      <c r="AA58" s="37"/>
      <c r="AB58" s="37"/>
      <c r="AC58" s="37"/>
      <c r="AD58" s="37"/>
      <c r="AE58" s="37"/>
      <c r="AF58" s="366"/>
      <c r="AG58" s="366"/>
      <c r="AH58" s="37"/>
      <c r="AI58" s="37"/>
      <c r="AJ58" s="37"/>
      <c r="AK58" s="37"/>
      <c r="AL58" s="37"/>
      <c r="AM58" s="115"/>
      <c r="AN58" s="37"/>
      <c r="AP58" s="37"/>
    </row>
    <row r="59" spans="2:42" s="129" customFormat="1" ht="25.5" customHeight="1">
      <c r="B59" s="116"/>
      <c r="C59" s="43"/>
      <c r="D59" s="37"/>
      <c r="E59" s="37"/>
      <c r="F59" s="37"/>
      <c r="G59" s="37"/>
      <c r="H59" s="121"/>
      <c r="I59" s="121"/>
      <c r="J59" s="43"/>
      <c r="K59" s="121"/>
      <c r="L59" s="121"/>
      <c r="M59" s="121"/>
      <c r="N59" s="121"/>
      <c r="O59" s="121"/>
      <c r="P59" s="121"/>
      <c r="Q59" s="121"/>
      <c r="R59" s="116"/>
      <c r="S59" s="37"/>
      <c r="T59" s="37"/>
      <c r="U59" s="37"/>
      <c r="V59" s="37"/>
      <c r="W59" s="115"/>
      <c r="X59" s="37"/>
      <c r="Y59" s="37"/>
      <c r="Z59" s="37"/>
      <c r="AA59" s="37"/>
      <c r="AB59" s="37"/>
      <c r="AC59" s="37"/>
      <c r="AD59" s="37"/>
      <c r="AE59" s="37"/>
      <c r="AF59" s="366"/>
      <c r="AG59" s="366"/>
      <c r="AH59" s="37"/>
      <c r="AI59" s="37"/>
      <c r="AJ59" s="37"/>
      <c r="AK59" s="37"/>
      <c r="AL59" s="37"/>
      <c r="AM59" s="115"/>
      <c r="AN59" s="37"/>
      <c r="AP59" s="37"/>
    </row>
    <row r="60" spans="2:42" s="129" customFormat="1" ht="25.5" customHeight="1">
      <c r="B60" s="116"/>
      <c r="C60" s="43"/>
      <c r="D60" s="37"/>
      <c r="E60" s="37"/>
      <c r="F60" s="37"/>
      <c r="G60" s="37"/>
      <c r="H60" s="121"/>
      <c r="I60" s="121"/>
      <c r="J60" s="43"/>
      <c r="K60" s="121"/>
      <c r="L60" s="121"/>
      <c r="M60" s="121"/>
      <c r="N60" s="121"/>
      <c r="O60" s="121"/>
      <c r="P60" s="121"/>
      <c r="Q60" s="121"/>
      <c r="R60" s="116"/>
      <c r="S60" s="37"/>
      <c r="T60" s="37"/>
      <c r="U60" s="37"/>
      <c r="V60" s="37"/>
      <c r="W60" s="115"/>
      <c r="X60" s="37"/>
      <c r="Y60" s="37"/>
      <c r="Z60" s="37"/>
      <c r="AA60" s="37"/>
      <c r="AB60" s="37"/>
      <c r="AC60" s="37"/>
      <c r="AD60" s="37"/>
      <c r="AE60" s="37"/>
      <c r="AF60" s="366"/>
      <c r="AG60" s="366"/>
      <c r="AH60" s="37"/>
      <c r="AI60" s="37"/>
      <c r="AJ60" s="37"/>
      <c r="AK60" s="37"/>
      <c r="AL60" s="37"/>
      <c r="AM60" s="115"/>
      <c r="AN60" s="37"/>
      <c r="AP60" s="37"/>
    </row>
    <row r="61" spans="2:42" s="129" customFormat="1" ht="25.5" customHeight="1">
      <c r="B61" s="116"/>
      <c r="C61" s="43"/>
      <c r="D61" s="37"/>
      <c r="E61" s="37"/>
      <c r="F61" s="37"/>
      <c r="G61" s="37"/>
      <c r="H61" s="121"/>
      <c r="I61" s="121"/>
      <c r="J61" s="43"/>
      <c r="K61" s="121"/>
      <c r="L61" s="121"/>
      <c r="M61" s="121"/>
      <c r="N61" s="121"/>
      <c r="O61" s="121"/>
      <c r="P61" s="121"/>
      <c r="Q61" s="121"/>
      <c r="R61" s="116"/>
      <c r="S61" s="37"/>
      <c r="T61" s="37"/>
      <c r="U61" s="37"/>
      <c r="V61" s="37"/>
      <c r="W61" s="115"/>
      <c r="X61" s="37"/>
      <c r="Y61" s="37"/>
      <c r="Z61" s="37"/>
      <c r="AA61" s="37"/>
      <c r="AB61" s="37"/>
      <c r="AC61" s="37"/>
      <c r="AD61" s="37"/>
      <c r="AE61" s="37"/>
      <c r="AF61" s="366"/>
      <c r="AG61" s="366"/>
      <c r="AH61" s="37"/>
      <c r="AI61" s="37"/>
      <c r="AJ61" s="37"/>
      <c r="AK61" s="37"/>
      <c r="AL61" s="37"/>
      <c r="AM61" s="115"/>
      <c r="AN61" s="37"/>
      <c r="AP61" s="37"/>
    </row>
    <row r="62" spans="2:42" s="129" customFormat="1" ht="25.5" customHeight="1">
      <c r="B62" s="116"/>
      <c r="C62" s="43"/>
      <c r="D62" s="37"/>
      <c r="E62" s="37"/>
      <c r="F62" s="37"/>
      <c r="G62" s="37"/>
      <c r="H62" s="121"/>
      <c r="I62" s="121"/>
      <c r="J62" s="43"/>
      <c r="K62" s="121"/>
      <c r="L62" s="121"/>
      <c r="M62" s="121"/>
      <c r="N62" s="121"/>
      <c r="O62" s="121"/>
      <c r="P62" s="121"/>
      <c r="Q62" s="121"/>
      <c r="R62" s="116"/>
      <c r="S62" s="37"/>
      <c r="T62" s="37"/>
      <c r="U62" s="37"/>
      <c r="V62" s="37"/>
      <c r="W62" s="115"/>
      <c r="X62" s="37"/>
      <c r="Y62" s="37"/>
      <c r="Z62" s="37"/>
      <c r="AA62" s="37"/>
      <c r="AB62" s="37"/>
      <c r="AC62" s="37"/>
      <c r="AD62" s="37"/>
      <c r="AE62" s="37"/>
      <c r="AF62" s="366"/>
      <c r="AG62" s="366"/>
      <c r="AH62" s="37"/>
      <c r="AI62" s="37"/>
      <c r="AJ62" s="37"/>
      <c r="AK62" s="37"/>
      <c r="AL62" s="37"/>
      <c r="AM62" s="115"/>
      <c r="AN62" s="37"/>
      <c r="AP62" s="37"/>
    </row>
    <row r="63" spans="2:42" s="129" customFormat="1" ht="25.5" customHeight="1">
      <c r="B63" s="116"/>
      <c r="C63" s="43"/>
      <c r="D63" s="37"/>
      <c r="E63" s="37"/>
      <c r="F63" s="37"/>
      <c r="G63" s="37"/>
      <c r="H63" s="121"/>
      <c r="I63" s="121"/>
      <c r="J63" s="43"/>
      <c r="K63" s="121"/>
      <c r="L63" s="121"/>
      <c r="M63" s="121"/>
      <c r="N63" s="121"/>
      <c r="O63" s="121"/>
      <c r="P63" s="121"/>
      <c r="Q63" s="121"/>
      <c r="R63" s="116"/>
      <c r="S63" s="37"/>
      <c r="T63" s="37"/>
      <c r="U63" s="37"/>
      <c r="V63" s="37"/>
      <c r="W63" s="115"/>
      <c r="X63" s="37"/>
      <c r="Y63" s="37"/>
      <c r="Z63" s="37"/>
      <c r="AA63" s="37"/>
      <c r="AB63" s="37"/>
      <c r="AC63" s="37"/>
      <c r="AD63" s="37"/>
      <c r="AE63" s="37"/>
      <c r="AF63" s="366"/>
      <c r="AG63" s="366"/>
      <c r="AH63" s="37"/>
      <c r="AI63" s="37"/>
      <c r="AJ63" s="37"/>
      <c r="AK63" s="37"/>
      <c r="AL63" s="37"/>
      <c r="AM63" s="115"/>
      <c r="AN63" s="37"/>
      <c r="AP63" s="37"/>
    </row>
    <row r="64" spans="2:42" s="129" customFormat="1" ht="25.5" customHeight="1">
      <c r="B64" s="116"/>
      <c r="C64" s="43"/>
      <c r="D64" s="37"/>
      <c r="E64" s="37"/>
      <c r="F64" s="37"/>
      <c r="G64" s="37"/>
      <c r="H64" s="121"/>
      <c r="I64" s="121"/>
      <c r="J64" s="43"/>
      <c r="K64" s="121"/>
      <c r="L64" s="121"/>
      <c r="M64" s="121"/>
      <c r="N64" s="121"/>
      <c r="O64" s="121"/>
      <c r="P64" s="121"/>
      <c r="Q64" s="121"/>
      <c r="R64" s="116"/>
      <c r="S64" s="37"/>
      <c r="T64" s="37"/>
      <c r="U64" s="37"/>
      <c r="V64" s="37"/>
      <c r="W64" s="115"/>
      <c r="X64" s="37"/>
      <c r="Y64" s="37"/>
      <c r="Z64" s="37"/>
      <c r="AA64" s="37"/>
      <c r="AB64" s="37"/>
      <c r="AC64" s="37"/>
      <c r="AD64" s="37"/>
      <c r="AE64" s="37"/>
      <c r="AF64" s="366"/>
      <c r="AG64" s="366"/>
      <c r="AH64" s="37"/>
      <c r="AI64" s="37"/>
      <c r="AJ64" s="37"/>
      <c r="AK64" s="37"/>
      <c r="AL64" s="37"/>
      <c r="AM64" s="115"/>
      <c r="AN64" s="37"/>
      <c r="AP64" s="37"/>
    </row>
    <row r="65" spans="2:42" s="129" customFormat="1" ht="25.5" customHeight="1">
      <c r="B65" s="116"/>
      <c r="C65" s="43"/>
      <c r="D65" s="37"/>
      <c r="E65" s="37"/>
      <c r="F65" s="37"/>
      <c r="G65" s="37"/>
      <c r="H65" s="121"/>
      <c r="I65" s="121"/>
      <c r="J65" s="43"/>
      <c r="K65" s="121"/>
      <c r="L65" s="121"/>
      <c r="M65" s="121"/>
      <c r="N65" s="121"/>
      <c r="O65" s="121"/>
      <c r="P65" s="121"/>
      <c r="Q65" s="121"/>
      <c r="R65" s="116"/>
      <c r="S65" s="37"/>
      <c r="T65" s="37"/>
      <c r="U65" s="37"/>
      <c r="V65" s="37"/>
      <c r="W65" s="115"/>
      <c r="X65" s="37"/>
      <c r="Y65" s="37"/>
      <c r="Z65" s="37"/>
      <c r="AA65" s="37"/>
      <c r="AB65" s="37"/>
      <c r="AC65" s="37"/>
      <c r="AD65" s="37"/>
      <c r="AE65" s="37"/>
      <c r="AF65" s="366"/>
      <c r="AG65" s="366"/>
      <c r="AH65" s="37"/>
      <c r="AI65" s="37"/>
      <c r="AJ65" s="37"/>
      <c r="AK65" s="37"/>
      <c r="AL65" s="37"/>
      <c r="AM65" s="115"/>
      <c r="AN65" s="37"/>
      <c r="AP65" s="37"/>
    </row>
    <row r="66" spans="2:42" s="129" customFormat="1" ht="25.5" customHeight="1">
      <c r="B66" s="116"/>
      <c r="C66" s="43"/>
      <c r="D66" s="37"/>
      <c r="E66" s="37"/>
      <c r="F66" s="37"/>
      <c r="G66" s="37"/>
      <c r="H66" s="121"/>
      <c r="I66" s="121"/>
      <c r="J66" s="43"/>
      <c r="K66" s="121"/>
      <c r="L66" s="121"/>
      <c r="M66" s="121"/>
      <c r="N66" s="121"/>
      <c r="O66" s="121"/>
      <c r="P66" s="121"/>
      <c r="Q66" s="121"/>
      <c r="R66" s="116"/>
      <c r="S66" s="37"/>
      <c r="T66" s="37"/>
      <c r="U66" s="37"/>
      <c r="V66" s="37"/>
      <c r="W66" s="115"/>
      <c r="X66" s="37"/>
      <c r="Y66" s="37"/>
      <c r="Z66" s="37"/>
      <c r="AA66" s="37"/>
      <c r="AB66" s="37"/>
      <c r="AC66" s="37"/>
      <c r="AD66" s="37"/>
      <c r="AE66" s="37"/>
      <c r="AF66" s="366"/>
      <c r="AG66" s="366"/>
      <c r="AH66" s="37"/>
      <c r="AI66" s="37"/>
      <c r="AJ66" s="37"/>
      <c r="AK66" s="37"/>
      <c r="AL66" s="37"/>
      <c r="AM66" s="115"/>
      <c r="AN66" s="37"/>
      <c r="AP66" s="37"/>
    </row>
    <row r="67" spans="2:42" s="129" customFormat="1" ht="25.5" customHeight="1">
      <c r="B67" s="116"/>
      <c r="C67" s="43"/>
      <c r="D67" s="37"/>
      <c r="E67" s="37"/>
      <c r="F67" s="37"/>
      <c r="G67" s="37"/>
      <c r="H67" s="121"/>
      <c r="I67" s="121"/>
      <c r="J67" s="43"/>
      <c r="K67" s="121"/>
      <c r="L67" s="121"/>
      <c r="M67" s="121"/>
      <c r="N67" s="121"/>
      <c r="O67" s="121"/>
      <c r="P67" s="121"/>
      <c r="Q67" s="121"/>
      <c r="R67" s="116"/>
      <c r="S67" s="37"/>
      <c r="T67" s="37"/>
      <c r="U67" s="37"/>
      <c r="V67" s="37"/>
      <c r="W67" s="115"/>
      <c r="X67" s="37"/>
      <c r="Y67" s="37"/>
      <c r="Z67" s="37"/>
      <c r="AA67" s="37"/>
      <c r="AB67" s="37"/>
      <c r="AC67" s="37"/>
      <c r="AD67" s="37"/>
      <c r="AE67" s="37"/>
      <c r="AF67" s="366"/>
      <c r="AG67" s="366"/>
      <c r="AH67" s="37"/>
      <c r="AI67" s="37"/>
      <c r="AJ67" s="37"/>
      <c r="AK67" s="37"/>
      <c r="AL67" s="37"/>
      <c r="AM67" s="115"/>
      <c r="AN67" s="37"/>
      <c r="AP67" s="37"/>
    </row>
    <row r="68" spans="2:42" s="129" customFormat="1" ht="25.5" customHeight="1">
      <c r="B68" s="116"/>
      <c r="C68" s="43"/>
      <c r="D68" s="37"/>
      <c r="E68" s="37"/>
      <c r="F68" s="37"/>
      <c r="G68" s="37"/>
      <c r="H68" s="121"/>
      <c r="I68" s="121"/>
      <c r="J68" s="43"/>
      <c r="K68" s="121"/>
      <c r="L68" s="121"/>
      <c r="M68" s="121"/>
      <c r="N68" s="121"/>
      <c r="O68" s="121"/>
      <c r="P68" s="121"/>
      <c r="Q68" s="121"/>
      <c r="R68" s="116"/>
      <c r="S68" s="37"/>
      <c r="T68" s="37"/>
      <c r="U68" s="37"/>
      <c r="V68" s="37"/>
      <c r="W68" s="115"/>
      <c r="X68" s="37"/>
      <c r="Y68" s="37"/>
      <c r="Z68" s="37"/>
      <c r="AA68" s="37"/>
      <c r="AB68" s="37"/>
      <c r="AC68" s="37"/>
      <c r="AD68" s="37"/>
      <c r="AE68" s="37"/>
      <c r="AF68" s="366"/>
      <c r="AG68" s="366"/>
      <c r="AH68" s="37"/>
      <c r="AI68" s="37"/>
      <c r="AJ68" s="37"/>
      <c r="AK68" s="37"/>
      <c r="AL68" s="37"/>
      <c r="AM68" s="115"/>
      <c r="AN68" s="37"/>
      <c r="AP68" s="37"/>
    </row>
    <row r="69" spans="2:42" s="129" customFormat="1" ht="25.5" customHeight="1">
      <c r="B69" s="116"/>
      <c r="C69" s="43"/>
      <c r="D69" s="37"/>
      <c r="E69" s="37"/>
      <c r="F69" s="37"/>
      <c r="G69" s="37"/>
      <c r="H69" s="121"/>
      <c r="I69" s="121"/>
      <c r="J69" s="43"/>
      <c r="K69" s="121"/>
      <c r="L69" s="121"/>
      <c r="M69" s="121"/>
      <c r="N69" s="121"/>
      <c r="O69" s="121"/>
      <c r="P69" s="121"/>
      <c r="Q69" s="121"/>
      <c r="R69" s="116"/>
      <c r="S69" s="37"/>
      <c r="T69" s="37"/>
      <c r="U69" s="37"/>
      <c r="V69" s="37"/>
      <c r="W69" s="115"/>
      <c r="X69" s="37"/>
      <c r="Y69" s="37"/>
      <c r="Z69" s="37"/>
      <c r="AA69" s="37"/>
      <c r="AB69" s="37"/>
      <c r="AC69" s="37"/>
      <c r="AD69" s="37"/>
      <c r="AE69" s="37"/>
      <c r="AF69" s="366"/>
      <c r="AG69" s="366"/>
      <c r="AH69" s="37"/>
      <c r="AI69" s="37"/>
      <c r="AJ69" s="37"/>
      <c r="AK69" s="37"/>
      <c r="AL69" s="37"/>
      <c r="AM69" s="115"/>
      <c r="AN69" s="37"/>
      <c r="AP69" s="37"/>
    </row>
  </sheetData>
  <sheetProtection/>
  <mergeCells count="4">
    <mergeCell ref="P22:Q22"/>
    <mergeCell ref="L23:M23"/>
    <mergeCell ref="AA27:AB27"/>
    <mergeCell ref="AC22:AD22"/>
  </mergeCells>
  <printOptions/>
  <pageMargins left="0.38" right="0.16" top="0.27" bottom="0.21" header="0.17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9"/>
  <sheetViews>
    <sheetView tabSelected="1" workbookViewId="0" topLeftCell="A4">
      <pane xSplit="20055" topLeftCell="AD1" activePane="topLeft" state="split"/>
      <selection pane="topLeft" activeCell="AN19" sqref="AN19"/>
      <selection pane="topRight" activeCell="Z4" sqref="Z1:Z16384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1.875" style="27" hidden="1" customWidth="1"/>
    <col min="4" max="8" width="10.375" style="2" hidden="1" customWidth="1"/>
    <col min="9" max="9" width="9.50390625" style="2" hidden="1" customWidth="1"/>
    <col min="10" max="10" width="9.75390625" style="2" hidden="1" customWidth="1"/>
    <col min="11" max="11" width="9.125" style="2" hidden="1" customWidth="1"/>
    <col min="12" max="12" width="7.75390625" style="77" hidden="1" customWidth="1"/>
    <col min="13" max="13" width="9.375" style="2" hidden="1" customWidth="1"/>
    <col min="14" max="14" width="10.75390625" style="2" hidden="1" customWidth="1"/>
    <col min="15" max="15" width="8.625" style="2" hidden="1" customWidth="1"/>
    <col min="16" max="16" width="10.00390625" style="2" hidden="1" customWidth="1"/>
    <col min="17" max="17" width="9.25390625" style="2" hidden="1" customWidth="1"/>
    <col min="18" max="18" width="10.50390625" style="1" customWidth="1"/>
    <col min="19" max="20" width="9.125" style="98" hidden="1" customWidth="1"/>
    <col min="21" max="21" width="9.25390625" style="98" hidden="1" customWidth="1"/>
    <col min="22" max="22" width="9.125" style="98" hidden="1" customWidth="1"/>
    <col min="23" max="24" width="9.125" style="2" hidden="1" customWidth="1"/>
    <col min="25" max="25" width="9.25390625" style="2" hidden="1" customWidth="1"/>
    <col min="26" max="26" width="9.125" style="2" hidden="1" customWidth="1"/>
    <col min="27" max="27" width="9.625" style="1" hidden="1" customWidth="1"/>
    <col min="28" max="28" width="9.50390625" style="29" hidden="1" customWidth="1"/>
    <col min="29" max="29" width="7.375" style="29" hidden="1" customWidth="1"/>
    <col min="30" max="30" width="9.875" style="1" customWidth="1"/>
    <col min="31" max="31" width="8.875" style="2" customWidth="1"/>
    <col min="32" max="32" width="10.25390625" style="2" customWidth="1"/>
    <col min="33" max="33" width="8.00390625" style="358" customWidth="1"/>
    <col min="34" max="34" width="7.625" style="358" customWidth="1"/>
    <col min="35" max="35" width="9.125" style="21" customWidth="1"/>
    <col min="36" max="36" width="9.00390625" style="2" hidden="1" customWidth="1"/>
    <col min="37" max="38" width="7.875" style="2" hidden="1" customWidth="1"/>
    <col min="39" max="39" width="9.125" style="2" customWidth="1"/>
    <col min="40" max="40" width="12.875" style="135" customWidth="1"/>
    <col min="41" max="41" width="12.625" style="1" customWidth="1"/>
    <col min="42" max="42" width="10.125" style="8" hidden="1" customWidth="1"/>
    <col min="43" max="43" width="0" style="2" hidden="1" customWidth="1"/>
    <col min="44" max="16384" width="9.00390625" style="1" customWidth="1"/>
  </cols>
  <sheetData>
    <row r="1" spans="1:43" s="3" customFormat="1" ht="31.5" customHeight="1">
      <c r="A1" s="12" t="s">
        <v>6</v>
      </c>
      <c r="B1" s="12"/>
      <c r="C1" s="26"/>
      <c r="D1" s="2"/>
      <c r="E1" s="2"/>
      <c r="F1" s="2"/>
      <c r="G1" s="2"/>
      <c r="H1" s="2"/>
      <c r="I1" s="2"/>
      <c r="J1" s="2"/>
      <c r="K1" s="2"/>
      <c r="L1" s="77"/>
      <c r="M1" s="2"/>
      <c r="N1" s="2"/>
      <c r="O1" s="2"/>
      <c r="P1" s="2"/>
      <c r="Q1" s="2"/>
      <c r="S1" s="97"/>
      <c r="T1" s="97"/>
      <c r="U1" s="97"/>
      <c r="V1" s="97"/>
      <c r="W1" s="13"/>
      <c r="X1" s="13"/>
      <c r="Y1" s="13"/>
      <c r="Z1" s="13"/>
      <c r="AB1" s="111"/>
      <c r="AC1" s="111"/>
      <c r="AE1" s="13"/>
      <c r="AF1" s="13"/>
      <c r="AG1" s="357"/>
      <c r="AH1" s="357"/>
      <c r="AI1" s="20"/>
      <c r="AJ1" s="13"/>
      <c r="AK1" s="13"/>
      <c r="AL1" s="13"/>
      <c r="AM1" s="13"/>
      <c r="AN1" s="135"/>
      <c r="AO1" s="178" t="s">
        <v>38</v>
      </c>
      <c r="AP1" s="12"/>
      <c r="AQ1" s="13"/>
    </row>
    <row r="2" ht="10.5" customHeight="1">
      <c r="A2" s="8"/>
    </row>
    <row r="3" spans="1:43" s="3" customFormat="1" ht="22.5" customHeight="1" thickBot="1">
      <c r="A3" s="12" t="s">
        <v>56</v>
      </c>
      <c r="C3" s="13"/>
      <c r="D3" s="2"/>
      <c r="E3" s="2"/>
      <c r="F3" s="2"/>
      <c r="G3" s="2"/>
      <c r="H3" s="2"/>
      <c r="I3" s="2"/>
      <c r="J3" s="2"/>
      <c r="K3" s="2"/>
      <c r="L3" s="77"/>
      <c r="M3" s="2"/>
      <c r="N3" s="2"/>
      <c r="O3" s="2"/>
      <c r="P3" s="2"/>
      <c r="Q3" s="2"/>
      <c r="S3" s="97"/>
      <c r="T3" s="97"/>
      <c r="U3" s="97"/>
      <c r="V3" s="97"/>
      <c r="W3" s="13"/>
      <c r="X3" s="13"/>
      <c r="Y3" s="13"/>
      <c r="Z3" s="13"/>
      <c r="AB3" s="111"/>
      <c r="AC3" s="111"/>
      <c r="AE3" s="13"/>
      <c r="AF3" s="13"/>
      <c r="AG3" s="357"/>
      <c r="AH3" s="357"/>
      <c r="AI3" s="20"/>
      <c r="AJ3" s="13"/>
      <c r="AK3" s="13"/>
      <c r="AL3" s="13"/>
      <c r="AM3" s="13"/>
      <c r="AN3" s="135"/>
      <c r="AP3" s="12"/>
      <c r="AQ3" s="13"/>
    </row>
    <row r="4" spans="1:43" s="9" customFormat="1" ht="63.75" thickBot="1">
      <c r="A4" s="124" t="s">
        <v>10</v>
      </c>
      <c r="B4" s="125" t="s">
        <v>0</v>
      </c>
      <c r="C4" s="237" t="s">
        <v>46</v>
      </c>
      <c r="D4" s="18" t="s">
        <v>47</v>
      </c>
      <c r="E4" s="38" t="s">
        <v>18</v>
      </c>
      <c r="F4" s="78" t="s">
        <v>48</v>
      </c>
      <c r="G4" s="162" t="s">
        <v>36</v>
      </c>
      <c r="H4" s="18" t="s">
        <v>49</v>
      </c>
      <c r="I4" s="163" t="s">
        <v>50</v>
      </c>
      <c r="J4" s="165" t="s">
        <v>51</v>
      </c>
      <c r="K4" s="38" t="s">
        <v>19</v>
      </c>
      <c r="L4" s="78" t="s">
        <v>52</v>
      </c>
      <c r="M4" s="19" t="s">
        <v>53</v>
      </c>
      <c r="N4" s="38" t="s">
        <v>32</v>
      </c>
      <c r="O4" s="78" t="s">
        <v>85</v>
      </c>
      <c r="P4" s="162" t="s">
        <v>80</v>
      </c>
      <c r="Q4" s="162" t="s">
        <v>81</v>
      </c>
      <c r="R4" s="254" t="s">
        <v>55</v>
      </c>
      <c r="S4" s="188" t="s">
        <v>71</v>
      </c>
      <c r="T4" s="180" t="s">
        <v>40</v>
      </c>
      <c r="U4" s="101" t="s">
        <v>33</v>
      </c>
      <c r="V4" s="78" t="s">
        <v>86</v>
      </c>
      <c r="W4" s="268" t="s">
        <v>72</v>
      </c>
      <c r="X4" s="101" t="s">
        <v>34</v>
      </c>
      <c r="Y4" s="209" t="s">
        <v>93</v>
      </c>
      <c r="Z4" s="270" t="s">
        <v>73</v>
      </c>
      <c r="AA4" s="113" t="s">
        <v>35</v>
      </c>
      <c r="AB4" s="209" t="s">
        <v>96</v>
      </c>
      <c r="AC4" s="78" t="s">
        <v>94</v>
      </c>
      <c r="AD4" s="329" t="s">
        <v>68</v>
      </c>
      <c r="AE4" s="322" t="s">
        <v>95</v>
      </c>
      <c r="AF4" s="367" t="s">
        <v>111</v>
      </c>
      <c r="AG4" s="217" t="s">
        <v>104</v>
      </c>
      <c r="AH4" s="217" t="s">
        <v>105</v>
      </c>
      <c r="AI4" s="351" t="s">
        <v>106</v>
      </c>
      <c r="AJ4" s="322" t="s">
        <v>107</v>
      </c>
      <c r="AK4" s="322" t="s">
        <v>108</v>
      </c>
      <c r="AL4" s="322" t="s">
        <v>109</v>
      </c>
      <c r="AM4" s="351" t="s">
        <v>110</v>
      </c>
      <c r="AN4" s="166" t="s">
        <v>69</v>
      </c>
      <c r="AO4" s="384" t="s">
        <v>116</v>
      </c>
      <c r="AP4" s="338"/>
      <c r="AQ4" s="339" t="s">
        <v>103</v>
      </c>
    </row>
    <row r="5" spans="1:43" s="5" customFormat="1" ht="30" customHeight="1">
      <c r="A5" s="57">
        <v>1</v>
      </c>
      <c r="B5" s="126" t="s">
        <v>26</v>
      </c>
      <c r="C5" s="238">
        <v>511053.14</v>
      </c>
      <c r="D5" s="25">
        <f>47305.53+4730.34+99.36</f>
        <v>52135.229999999996</v>
      </c>
      <c r="E5" s="40">
        <v>52135.23</v>
      </c>
      <c r="F5" s="24">
        <f aca="true" t="shared" si="0" ref="F5:F11">D5-E5</f>
        <v>0</v>
      </c>
      <c r="G5" s="24">
        <f>(C5+E5)/13</f>
        <v>43322.18230769231</v>
      </c>
      <c r="H5" s="25">
        <f>47305.53-4730.34</f>
        <v>42575.19</v>
      </c>
      <c r="I5" s="24">
        <f>G5*G16/100</f>
        <v>8879.004598272857</v>
      </c>
      <c r="J5" s="197">
        <f>H5+I5+1824.37</f>
        <v>53278.56459827286</v>
      </c>
      <c r="K5" s="39">
        <v>53278.56</v>
      </c>
      <c r="L5" s="24">
        <f aca="true" t="shared" si="1" ref="L5:L11">J5-K5</f>
        <v>0.004598272862494923</v>
      </c>
      <c r="M5" s="25">
        <f>47305.53-1824.37</f>
        <v>45481.159999999996</v>
      </c>
      <c r="N5" s="39">
        <v>39997.59</v>
      </c>
      <c r="O5" s="24">
        <f aca="true" t="shared" si="2" ref="O5:O11">M5-N5</f>
        <v>5483.57</v>
      </c>
      <c r="P5" s="24">
        <v>0</v>
      </c>
      <c r="Q5" s="24">
        <v>0</v>
      </c>
      <c r="R5" s="255">
        <f aca="true" t="shared" si="3" ref="R5:R11">E5+K5+N5</f>
        <v>145411.38</v>
      </c>
      <c r="S5" s="23">
        <v>55000</v>
      </c>
      <c r="T5" s="181">
        <f>Q5+S5+5499.42</f>
        <v>60499.42</v>
      </c>
      <c r="U5" s="107">
        <v>60499.42</v>
      </c>
      <c r="V5" s="23">
        <f aca="true" t="shared" si="4" ref="V5:V11">T5-U5</f>
        <v>0</v>
      </c>
      <c r="W5" s="92">
        <f>41869.86-5499.42+3316.14</f>
        <v>39686.58</v>
      </c>
      <c r="X5" s="86">
        <v>40004.25</v>
      </c>
      <c r="Y5" s="302">
        <f aca="true" t="shared" si="5" ref="Y5:Y11">W5-X5</f>
        <v>-317.66999999999825</v>
      </c>
      <c r="Z5" s="90">
        <f>48402.74-3316.14</f>
        <v>45086.6</v>
      </c>
      <c r="AA5" s="102">
        <v>46495.73</v>
      </c>
      <c r="AB5" s="302">
        <v>-1409.7</v>
      </c>
      <c r="AC5" s="90">
        <v>0.57</v>
      </c>
      <c r="AD5" s="330">
        <f aca="true" t="shared" si="6" ref="AD5:AD11">U5+X5+AA5</f>
        <v>146999.4</v>
      </c>
      <c r="AE5" s="323">
        <v>57611.63</v>
      </c>
      <c r="AF5" s="216">
        <v>117871.56</v>
      </c>
      <c r="AG5" s="211">
        <v>55000</v>
      </c>
      <c r="AH5" s="211">
        <v>45000</v>
      </c>
      <c r="AI5" s="352">
        <f aca="true" t="shared" si="7" ref="AI5:AI11">AE5+AG5+AH5</f>
        <v>157611.63</v>
      </c>
      <c r="AJ5" s="323">
        <f>AF5-AG5-AH5</f>
        <v>17871.559999999998</v>
      </c>
      <c r="AK5" s="323">
        <v>0</v>
      </c>
      <c r="AL5" s="323">
        <v>0</v>
      </c>
      <c r="AM5" s="353">
        <f>AJ5+AK5+AL5</f>
        <v>17871.559999999998</v>
      </c>
      <c r="AN5" s="167">
        <f aca="true" t="shared" si="8" ref="AN5:AN11">R5+AD5+AI5+AM5</f>
        <v>467893.97000000003</v>
      </c>
      <c r="AO5" s="117">
        <f aca="true" t="shared" si="9" ref="AO5:AO11">R5+AD5</f>
        <v>292410.78</v>
      </c>
      <c r="AP5" s="229"/>
      <c r="AQ5" s="90">
        <f aca="true" t="shared" si="10" ref="AQ5:AQ11">AO5/6</f>
        <v>48735.130000000005</v>
      </c>
    </row>
    <row r="6" spans="1:43" s="5" customFormat="1" ht="23.25" customHeight="1">
      <c r="A6" s="57">
        <v>2</v>
      </c>
      <c r="B6" s="126" t="s">
        <v>27</v>
      </c>
      <c r="C6" s="238">
        <v>232927.45</v>
      </c>
      <c r="D6" s="25">
        <v>41279.72</v>
      </c>
      <c r="E6" s="40">
        <v>26495.16</v>
      </c>
      <c r="F6" s="24">
        <f t="shared" si="0"/>
        <v>14784.560000000001</v>
      </c>
      <c r="G6" s="24">
        <v>0</v>
      </c>
      <c r="H6" s="25">
        <v>41279.72</v>
      </c>
      <c r="I6" s="24">
        <v>0</v>
      </c>
      <c r="J6" s="197">
        <f>H6+I6+3835.33</f>
        <v>45115.05</v>
      </c>
      <c r="K6" s="39">
        <v>45115.05</v>
      </c>
      <c r="L6" s="24">
        <f t="shared" si="1"/>
        <v>0</v>
      </c>
      <c r="M6" s="25">
        <f>41279.72-3835.33</f>
        <v>37444.39</v>
      </c>
      <c r="N6" s="39">
        <v>37443.9</v>
      </c>
      <c r="O6" s="24">
        <f t="shared" si="2"/>
        <v>0.48999999999796273</v>
      </c>
      <c r="P6" s="24">
        <f>R6/3</f>
        <v>36351.37</v>
      </c>
      <c r="Q6" s="24">
        <f>P6*O16/100</f>
        <v>879.0527058099931</v>
      </c>
      <c r="R6" s="255">
        <f t="shared" si="3"/>
        <v>109054.11000000002</v>
      </c>
      <c r="S6" s="23">
        <v>42000</v>
      </c>
      <c r="T6" s="181">
        <f>Q6+S6</f>
        <v>42879.05270580999</v>
      </c>
      <c r="U6" s="107">
        <v>42876.9</v>
      </c>
      <c r="V6" s="23">
        <f t="shared" si="4"/>
        <v>2.152705809989129</v>
      </c>
      <c r="W6" s="92">
        <v>39678.75</v>
      </c>
      <c r="X6" s="86">
        <v>39605.61</v>
      </c>
      <c r="Y6" s="91">
        <f t="shared" si="5"/>
        <v>73.13999999999942</v>
      </c>
      <c r="Z6" s="90">
        <f>40812.23+1677.51</f>
        <v>42489.740000000005</v>
      </c>
      <c r="AA6" s="102">
        <v>42489.74</v>
      </c>
      <c r="AB6" s="91">
        <f>Z6-AA6</f>
        <v>0</v>
      </c>
      <c r="AC6" s="90"/>
      <c r="AD6" s="330">
        <f t="shared" si="6"/>
        <v>124972.25</v>
      </c>
      <c r="AE6" s="323">
        <f>48576.99-1677.51</f>
        <v>46899.479999999996</v>
      </c>
      <c r="AF6" s="216">
        <v>94765.3</v>
      </c>
      <c r="AG6" s="211">
        <v>40000</v>
      </c>
      <c r="AH6" s="211">
        <v>30000</v>
      </c>
      <c r="AI6" s="352">
        <f t="shared" si="7"/>
        <v>116899.48</v>
      </c>
      <c r="AJ6" s="323">
        <f>AF6-AG6-AH6</f>
        <v>24765.300000000003</v>
      </c>
      <c r="AK6" s="323">
        <v>0</v>
      </c>
      <c r="AL6" s="323">
        <v>0</v>
      </c>
      <c r="AM6" s="353">
        <f aca="true" t="shared" si="11" ref="AM6:AM13">AJ6+AK6+AL6</f>
        <v>24765.300000000003</v>
      </c>
      <c r="AN6" s="167">
        <f t="shared" si="8"/>
        <v>375691.14</v>
      </c>
      <c r="AO6" s="117">
        <f t="shared" si="9"/>
        <v>234026.36000000002</v>
      </c>
      <c r="AP6" s="229"/>
      <c r="AQ6" s="90">
        <f t="shared" si="10"/>
        <v>39004.39333333333</v>
      </c>
    </row>
    <row r="7" spans="1:43" s="5" customFormat="1" ht="22.5" customHeight="1">
      <c r="A7" s="57">
        <v>3</v>
      </c>
      <c r="B7" s="126" t="s">
        <v>28</v>
      </c>
      <c r="C7" s="238">
        <v>418382.16</v>
      </c>
      <c r="D7" s="25">
        <f>26198.01+2087.26</f>
        <v>28285.269999999997</v>
      </c>
      <c r="E7" s="40">
        <v>28285.27</v>
      </c>
      <c r="F7" s="24">
        <f t="shared" si="0"/>
        <v>0</v>
      </c>
      <c r="G7" s="24">
        <f>(C7+E7)/13</f>
        <v>34359.03307692308</v>
      </c>
      <c r="H7" s="25">
        <f>26198.01-2087.26</f>
        <v>24110.75</v>
      </c>
      <c r="I7" s="24">
        <f>G7*G16/100</f>
        <v>7041.981646156363</v>
      </c>
      <c r="J7" s="197">
        <f>H7+I7+2635.81</f>
        <v>33788.541646156365</v>
      </c>
      <c r="K7" s="39">
        <v>33788.54</v>
      </c>
      <c r="L7" s="24">
        <f t="shared" si="1"/>
        <v>0.0016461563645862043</v>
      </c>
      <c r="M7" s="25">
        <f>26198.01-2635.81</f>
        <v>23562.199999999997</v>
      </c>
      <c r="N7" s="39">
        <v>23547.27</v>
      </c>
      <c r="O7" s="24">
        <f t="shared" si="2"/>
        <v>14.929999999996653</v>
      </c>
      <c r="P7" s="24">
        <f>R7/3</f>
        <v>28540.36</v>
      </c>
      <c r="Q7" s="24">
        <f>P7*O16/100</f>
        <v>690.1660290325038</v>
      </c>
      <c r="R7" s="255">
        <f t="shared" si="3"/>
        <v>85621.08</v>
      </c>
      <c r="S7" s="23">
        <v>30000</v>
      </c>
      <c r="T7" s="181">
        <f>Q7+S7+3373.98</f>
        <v>34064.146029032505</v>
      </c>
      <c r="U7" s="107">
        <v>34064.15</v>
      </c>
      <c r="V7" s="23">
        <f t="shared" si="4"/>
        <v>-0.003970967496570665</v>
      </c>
      <c r="W7" s="92">
        <f>21089.13-3373.98+1738.64</f>
        <v>19453.79</v>
      </c>
      <c r="X7" s="86">
        <v>20000.11</v>
      </c>
      <c r="Y7" s="302">
        <f t="shared" si="5"/>
        <v>-546.3199999999997</v>
      </c>
      <c r="Z7" s="90">
        <f>25527.58-1738.64</f>
        <v>23788.940000000002</v>
      </c>
      <c r="AA7" s="102">
        <v>24338.23</v>
      </c>
      <c r="AB7" s="302">
        <f>Z7-AA7</f>
        <v>-549.2899999999972</v>
      </c>
      <c r="AC7" s="90"/>
      <c r="AD7" s="330">
        <f t="shared" si="6"/>
        <v>78402.49</v>
      </c>
      <c r="AE7" s="323">
        <v>30384.36</v>
      </c>
      <c r="AF7" s="216">
        <v>64239.5</v>
      </c>
      <c r="AG7" s="211">
        <v>35000</v>
      </c>
      <c r="AH7" s="211">
        <v>25000</v>
      </c>
      <c r="AI7" s="352">
        <f t="shared" si="7"/>
        <v>90384.36</v>
      </c>
      <c r="AJ7" s="323">
        <f aca="true" t="shared" si="12" ref="AJ7:AJ13">AF7-AG7-AH7</f>
        <v>4239.5</v>
      </c>
      <c r="AK7" s="323">
        <v>0</v>
      </c>
      <c r="AL7" s="323">
        <v>0</v>
      </c>
      <c r="AM7" s="353">
        <f t="shared" si="11"/>
        <v>4239.5</v>
      </c>
      <c r="AN7" s="167">
        <f t="shared" si="8"/>
        <v>258647.43</v>
      </c>
      <c r="AO7" s="117">
        <f t="shared" si="9"/>
        <v>164023.57</v>
      </c>
      <c r="AP7" s="229"/>
      <c r="AQ7" s="90">
        <f t="shared" si="10"/>
        <v>27337.26166666667</v>
      </c>
    </row>
    <row r="8" spans="1:43" s="5" customFormat="1" ht="22.5" customHeight="1">
      <c r="A8" s="57">
        <v>4</v>
      </c>
      <c r="B8" s="126" t="s">
        <v>29</v>
      </c>
      <c r="C8" s="238">
        <v>403938.57</v>
      </c>
      <c r="D8" s="25">
        <f>28791.03+3671.9</f>
        <v>32462.93</v>
      </c>
      <c r="E8" s="40">
        <v>32462.93</v>
      </c>
      <c r="F8" s="24">
        <f t="shared" si="0"/>
        <v>0</v>
      </c>
      <c r="G8" s="24">
        <f>(C8+E8)/13</f>
        <v>33569.346153846156</v>
      </c>
      <c r="H8" s="25">
        <v>28791.03</v>
      </c>
      <c r="I8" s="24">
        <f>G8*G16/100</f>
        <v>6880.1330631049295</v>
      </c>
      <c r="J8" s="197">
        <f>H8+I8+59.12+16459.2</f>
        <v>52189.483063104926</v>
      </c>
      <c r="K8" s="39">
        <v>52189.48</v>
      </c>
      <c r="L8" s="24">
        <f t="shared" si="1"/>
        <v>0.0030631049230578355</v>
      </c>
      <c r="M8" s="25">
        <f>28791.03-59.12+8.98</f>
        <v>28740.89</v>
      </c>
      <c r="N8" s="39">
        <v>52190.33</v>
      </c>
      <c r="O8" s="283">
        <f t="shared" si="2"/>
        <v>-23449.440000000002</v>
      </c>
      <c r="P8" s="24">
        <f>R8/3</f>
        <v>45614.246666666666</v>
      </c>
      <c r="Q8" s="24">
        <f>P8*O16/100</f>
        <v>1103.048577146275</v>
      </c>
      <c r="R8" s="255">
        <f t="shared" si="3"/>
        <v>136842.74</v>
      </c>
      <c r="S8" s="23">
        <f>30000-8.98</f>
        <v>29991.02</v>
      </c>
      <c r="T8" s="181">
        <f>Q8+S8+50.85</f>
        <v>31144.918577146273</v>
      </c>
      <c r="U8" s="107">
        <v>49895.94</v>
      </c>
      <c r="V8" s="295">
        <f t="shared" si="4"/>
        <v>-18751.02142285373</v>
      </c>
      <c r="W8" s="92">
        <f>28541.77-50.85</f>
        <v>28490.920000000002</v>
      </c>
      <c r="X8" s="86">
        <v>40767</v>
      </c>
      <c r="Y8" s="302">
        <f t="shared" si="5"/>
        <v>-12276.079999999998</v>
      </c>
      <c r="Z8" s="90">
        <v>29251.44</v>
      </c>
      <c r="AA8" s="102">
        <v>49331.69</v>
      </c>
      <c r="AB8" s="302">
        <v>-20089.98</v>
      </c>
      <c r="AC8" s="90">
        <f>49341.42-49331.69</f>
        <v>9.729999999995925</v>
      </c>
      <c r="AD8" s="330">
        <f t="shared" si="6"/>
        <v>139994.63</v>
      </c>
      <c r="AE8" s="323">
        <v>34816.69</v>
      </c>
      <c r="AF8" s="216">
        <v>68616.45</v>
      </c>
      <c r="AG8" s="211">
        <v>35000</v>
      </c>
      <c r="AH8" s="211">
        <v>25000</v>
      </c>
      <c r="AI8" s="352">
        <f t="shared" si="7"/>
        <v>94816.69</v>
      </c>
      <c r="AJ8" s="323">
        <f t="shared" si="12"/>
        <v>8616.449999999997</v>
      </c>
      <c r="AK8" s="323">
        <v>0</v>
      </c>
      <c r="AL8" s="323">
        <v>0</v>
      </c>
      <c r="AM8" s="353">
        <f t="shared" si="11"/>
        <v>8616.449999999997</v>
      </c>
      <c r="AN8" s="167">
        <f t="shared" si="8"/>
        <v>380270.51</v>
      </c>
      <c r="AO8" s="117">
        <f t="shared" si="9"/>
        <v>276837.37</v>
      </c>
      <c r="AP8" s="229"/>
      <c r="AQ8" s="90">
        <f t="shared" si="10"/>
        <v>46139.56166666667</v>
      </c>
    </row>
    <row r="9" spans="1:43" s="5" customFormat="1" ht="22.5" customHeight="1">
      <c r="A9" s="57">
        <v>5</v>
      </c>
      <c r="B9" s="126" t="s">
        <v>30</v>
      </c>
      <c r="C9" s="239">
        <v>1020346.46</v>
      </c>
      <c r="D9" s="31">
        <f>65331.32+5084.18</f>
        <v>70415.5</v>
      </c>
      <c r="E9" s="41">
        <v>70415.5</v>
      </c>
      <c r="F9" s="24">
        <f t="shared" si="0"/>
        <v>0</v>
      </c>
      <c r="G9" s="24">
        <f>(C9+E9)/13</f>
        <v>83904.76615384615</v>
      </c>
      <c r="H9" s="31">
        <f>65331.32-5084.18</f>
        <v>60247.14</v>
      </c>
      <c r="I9" s="90">
        <f>G9*G16/100</f>
        <v>17196.52069246585</v>
      </c>
      <c r="J9" s="197">
        <f>H9+I9+22174.76+98.25</f>
        <v>99716.67069246584</v>
      </c>
      <c r="K9" s="39">
        <v>99716.67</v>
      </c>
      <c r="L9" s="24">
        <f t="shared" si="1"/>
        <v>0.0006924658373463899</v>
      </c>
      <c r="M9" s="31">
        <f>65331.32-22174.76+4081.11</f>
        <v>47237.67</v>
      </c>
      <c r="N9" s="86">
        <v>47346.59</v>
      </c>
      <c r="O9" s="283">
        <f t="shared" si="2"/>
        <v>-108.91999999999825</v>
      </c>
      <c r="P9" s="24">
        <f>R9/3</f>
        <v>72492.92</v>
      </c>
      <c r="Q9" s="24">
        <f>P9*O16/100</f>
        <v>1753.0315220050127</v>
      </c>
      <c r="R9" s="255">
        <f t="shared" si="3"/>
        <v>217478.75999999998</v>
      </c>
      <c r="S9" s="23">
        <f>80000-4081.11</f>
        <v>75918.89</v>
      </c>
      <c r="T9" s="181">
        <f>Q9+S9+3010.67</f>
        <v>80682.59152200501</v>
      </c>
      <c r="U9" s="107">
        <v>81335</v>
      </c>
      <c r="V9" s="295">
        <f t="shared" si="4"/>
        <v>-652.4084779949917</v>
      </c>
      <c r="W9" s="92">
        <f>52907.75-3010.67+858.89</f>
        <v>50755.97</v>
      </c>
      <c r="X9" s="86">
        <v>51836.73</v>
      </c>
      <c r="Y9" s="302">
        <f t="shared" si="5"/>
        <v>-1080.760000000002</v>
      </c>
      <c r="Z9" s="90">
        <f>66409.71-858.89+219.1</f>
        <v>65769.92000000001</v>
      </c>
      <c r="AA9" s="102">
        <v>66929.47</v>
      </c>
      <c r="AB9" s="302">
        <f>Z9-AA9</f>
        <v>-1159.5499999999884</v>
      </c>
      <c r="AC9" s="90"/>
      <c r="AD9" s="330">
        <f t="shared" si="6"/>
        <v>200101.2</v>
      </c>
      <c r="AE9" s="323">
        <f>79044.53-219.1</f>
        <v>78825.43</v>
      </c>
      <c r="AF9" s="216">
        <v>162108.17</v>
      </c>
      <c r="AG9" s="211">
        <v>65000</v>
      </c>
      <c r="AH9" s="211">
        <v>55000</v>
      </c>
      <c r="AI9" s="352">
        <f t="shared" si="7"/>
        <v>198825.43</v>
      </c>
      <c r="AJ9" s="323">
        <f t="shared" si="12"/>
        <v>42108.17000000001</v>
      </c>
      <c r="AK9" s="323">
        <v>0</v>
      </c>
      <c r="AL9" s="323">
        <v>0</v>
      </c>
      <c r="AM9" s="353">
        <f t="shared" si="11"/>
        <v>42108.17000000001</v>
      </c>
      <c r="AN9" s="167">
        <f t="shared" si="8"/>
        <v>658513.5599999999</v>
      </c>
      <c r="AO9" s="117">
        <f t="shared" si="9"/>
        <v>417579.95999999996</v>
      </c>
      <c r="AP9" s="229"/>
      <c r="AQ9" s="90">
        <f t="shared" si="10"/>
        <v>69596.65999999999</v>
      </c>
    </row>
    <row r="10" spans="1:43" s="5" customFormat="1" ht="22.5" customHeight="1">
      <c r="A10" s="57">
        <v>6</v>
      </c>
      <c r="B10" s="126" t="s">
        <v>112</v>
      </c>
      <c r="C10" s="238"/>
      <c r="D10" s="25"/>
      <c r="E10" s="40"/>
      <c r="F10" s="25"/>
      <c r="G10" s="25"/>
      <c r="H10" s="25"/>
      <c r="I10" s="25"/>
      <c r="J10" s="354"/>
      <c r="K10" s="40"/>
      <c r="L10" s="25"/>
      <c r="M10" s="25"/>
      <c r="N10" s="40"/>
      <c r="O10" s="307"/>
      <c r="P10" s="25"/>
      <c r="Q10" s="25"/>
      <c r="R10" s="355">
        <v>0</v>
      </c>
      <c r="S10" s="56"/>
      <c r="T10" s="181"/>
      <c r="U10" s="275"/>
      <c r="V10" s="295"/>
      <c r="W10" s="93"/>
      <c r="X10" s="108"/>
      <c r="Y10" s="302"/>
      <c r="Z10" s="96"/>
      <c r="AA10" s="103"/>
      <c r="AB10" s="302"/>
      <c r="AC10" s="90"/>
      <c r="AD10" s="330">
        <v>0</v>
      </c>
      <c r="AE10" s="356">
        <v>0</v>
      </c>
      <c r="AF10" s="368">
        <v>43369.04</v>
      </c>
      <c r="AG10" s="359">
        <v>15000</v>
      </c>
      <c r="AH10" s="359">
        <v>15000</v>
      </c>
      <c r="AI10" s="352">
        <f t="shared" si="7"/>
        <v>30000</v>
      </c>
      <c r="AJ10" s="323">
        <f t="shared" si="12"/>
        <v>13369.04</v>
      </c>
      <c r="AK10" s="356">
        <v>0</v>
      </c>
      <c r="AL10" s="356">
        <v>0</v>
      </c>
      <c r="AM10" s="353">
        <f t="shared" si="11"/>
        <v>13369.04</v>
      </c>
      <c r="AN10" s="167">
        <f t="shared" si="8"/>
        <v>43369.04</v>
      </c>
      <c r="AO10" s="117">
        <f>R10+AD10</f>
        <v>0</v>
      </c>
      <c r="AP10" s="229"/>
      <c r="AQ10" s="90">
        <f>AO10/6</f>
        <v>0</v>
      </c>
    </row>
    <row r="11" spans="1:43" s="5" customFormat="1" ht="30" customHeight="1" thickBot="1">
      <c r="A11" s="57">
        <v>7</v>
      </c>
      <c r="B11" s="127" t="s">
        <v>31</v>
      </c>
      <c r="C11" s="240">
        <v>442495.05</v>
      </c>
      <c r="D11" s="60">
        <v>55694.39</v>
      </c>
      <c r="E11" s="59">
        <v>32351.31</v>
      </c>
      <c r="F11" s="24">
        <f t="shared" si="0"/>
        <v>23343.079999999998</v>
      </c>
      <c r="G11" s="24">
        <v>0</v>
      </c>
      <c r="H11" s="60">
        <v>55694.39</v>
      </c>
      <c r="I11" s="60">
        <v>0</v>
      </c>
      <c r="J11" s="197">
        <f>H11+I11+4492.13</f>
        <v>60186.52</v>
      </c>
      <c r="K11" s="59">
        <v>60186.52</v>
      </c>
      <c r="L11" s="24">
        <f t="shared" si="1"/>
        <v>0</v>
      </c>
      <c r="M11" s="60">
        <f>55694.39-4492.13+14957.31</f>
        <v>66159.57</v>
      </c>
      <c r="N11" s="59">
        <v>66716.43</v>
      </c>
      <c r="O11" s="283">
        <f t="shared" si="2"/>
        <v>-556.859999999986</v>
      </c>
      <c r="P11" s="24">
        <f>R11/3</f>
        <v>53084.753333333334</v>
      </c>
      <c r="Q11" s="24">
        <f>P11*O16/100</f>
        <v>1283.7011660061976</v>
      </c>
      <c r="R11" s="255">
        <f t="shared" si="3"/>
        <v>159254.26</v>
      </c>
      <c r="S11" s="56">
        <f>60000-14957.31</f>
        <v>45042.69</v>
      </c>
      <c r="T11" s="181">
        <f>Q11+S11+24895.11</f>
        <v>71221.5011660062</v>
      </c>
      <c r="U11" s="275">
        <v>71774.71</v>
      </c>
      <c r="V11" s="295">
        <f t="shared" si="4"/>
        <v>-553.2088339938055</v>
      </c>
      <c r="W11" s="93">
        <f>48562.74-24895.11+34324.46</f>
        <v>57992.09</v>
      </c>
      <c r="X11" s="108">
        <v>58477.34</v>
      </c>
      <c r="Y11" s="302">
        <f t="shared" si="5"/>
        <v>-485.25</v>
      </c>
      <c r="Z11" s="96">
        <f>54245.3-34324.46+45492.89</f>
        <v>65413.73</v>
      </c>
      <c r="AA11" s="103">
        <v>66338.18</v>
      </c>
      <c r="AB11" s="302">
        <f>Z11-AA11</f>
        <v>-924.4499999999898</v>
      </c>
      <c r="AC11" s="90"/>
      <c r="AD11" s="330">
        <f t="shared" si="6"/>
        <v>196590.22999999998</v>
      </c>
      <c r="AE11" s="324">
        <f>64565.8-45492.89</f>
        <v>19072.910000000003</v>
      </c>
      <c r="AF11" s="369">
        <v>137029.98</v>
      </c>
      <c r="AG11" s="212">
        <v>125098</v>
      </c>
      <c r="AH11" s="324">
        <v>11931.98</v>
      </c>
      <c r="AI11" s="352">
        <f t="shared" si="7"/>
        <v>156102.89</v>
      </c>
      <c r="AJ11" s="323">
        <f t="shared" si="12"/>
        <v>0</v>
      </c>
      <c r="AK11" s="324">
        <v>0</v>
      </c>
      <c r="AL11" s="324">
        <v>0</v>
      </c>
      <c r="AM11" s="353">
        <f t="shared" si="11"/>
        <v>0</v>
      </c>
      <c r="AN11" s="167">
        <f t="shared" si="8"/>
        <v>511947.38</v>
      </c>
      <c r="AO11" s="117">
        <f t="shared" si="9"/>
        <v>355844.49</v>
      </c>
      <c r="AP11" s="208"/>
      <c r="AQ11" s="23">
        <f t="shared" si="10"/>
        <v>59307.415</v>
      </c>
    </row>
    <row r="12" spans="1:43" s="11" customFormat="1" ht="23.25" customHeight="1" thickBot="1">
      <c r="A12" s="137"/>
      <c r="B12" s="14" t="s">
        <v>2</v>
      </c>
      <c r="C12" s="46">
        <f aca="true" t="shared" si="13" ref="C12:N12">SUM(C5:C11)</f>
        <v>3029142.83</v>
      </c>
      <c r="D12" s="46">
        <f t="shared" si="13"/>
        <v>280273.04</v>
      </c>
      <c r="E12" s="46">
        <f t="shared" si="13"/>
        <v>242145.4</v>
      </c>
      <c r="F12" s="46">
        <f t="shared" si="13"/>
        <v>38127.64</v>
      </c>
      <c r="G12" s="46">
        <f t="shared" si="13"/>
        <v>195155.3276923077</v>
      </c>
      <c r="H12" s="46">
        <f t="shared" si="13"/>
        <v>252698.22000000003</v>
      </c>
      <c r="I12" s="46">
        <f t="shared" si="13"/>
        <v>39997.64</v>
      </c>
      <c r="J12" s="46">
        <f t="shared" si="13"/>
        <v>344274.83</v>
      </c>
      <c r="K12" s="46">
        <f t="shared" si="13"/>
        <v>344274.82</v>
      </c>
      <c r="L12" s="46">
        <f t="shared" si="13"/>
        <v>0.009999999987485353</v>
      </c>
      <c r="M12" s="46">
        <f t="shared" si="13"/>
        <v>248625.88</v>
      </c>
      <c r="N12" s="46">
        <f t="shared" si="13"/>
        <v>267242.11</v>
      </c>
      <c r="O12" s="46">
        <f>O5+O6+O7</f>
        <v>5498.989999999994</v>
      </c>
      <c r="P12" s="46">
        <f aca="true" t="shared" si="14" ref="P12:AQ12">SUM(P5:P11)</f>
        <v>236083.65</v>
      </c>
      <c r="Q12" s="46">
        <f t="shared" si="14"/>
        <v>5708.999999999982</v>
      </c>
      <c r="R12" s="46">
        <f t="shared" si="14"/>
        <v>853662.33</v>
      </c>
      <c r="S12" s="46">
        <f t="shared" si="14"/>
        <v>277952.6</v>
      </c>
      <c r="T12" s="46">
        <f t="shared" si="14"/>
        <v>320491.63</v>
      </c>
      <c r="U12" s="46">
        <f t="shared" si="14"/>
        <v>340446.12000000005</v>
      </c>
      <c r="V12" s="46">
        <f t="shared" si="14"/>
        <v>-19954.490000000034</v>
      </c>
      <c r="W12" s="46">
        <f t="shared" si="14"/>
        <v>236058.1</v>
      </c>
      <c r="X12" s="46">
        <f t="shared" si="14"/>
        <v>250691.04</v>
      </c>
      <c r="Y12" s="46">
        <f t="shared" si="14"/>
        <v>-14632.939999999999</v>
      </c>
      <c r="Z12" s="45">
        <f t="shared" si="14"/>
        <v>271800.37</v>
      </c>
      <c r="AA12" s="45">
        <f t="shared" si="14"/>
        <v>295923.04000000004</v>
      </c>
      <c r="AB12" s="45">
        <f t="shared" si="14"/>
        <v>-24132.969999999976</v>
      </c>
      <c r="AC12" s="45">
        <f t="shared" si="14"/>
        <v>10.299999999995926</v>
      </c>
      <c r="AD12" s="45">
        <f t="shared" si="14"/>
        <v>887060.2</v>
      </c>
      <c r="AE12" s="46">
        <f t="shared" si="14"/>
        <v>267610.5</v>
      </c>
      <c r="AF12" s="46">
        <f t="shared" si="14"/>
        <v>688000</v>
      </c>
      <c r="AG12" s="360">
        <f aca="true" t="shared" si="15" ref="AG12:AN12">SUM(AG5:AG11)</f>
        <v>370098</v>
      </c>
      <c r="AH12" s="360">
        <f t="shared" si="15"/>
        <v>206931.98</v>
      </c>
      <c r="AI12" s="46">
        <f t="shared" si="15"/>
        <v>844640.48</v>
      </c>
      <c r="AJ12" s="46">
        <f t="shared" si="15"/>
        <v>110970.02000000002</v>
      </c>
      <c r="AK12" s="46">
        <f t="shared" si="15"/>
        <v>0</v>
      </c>
      <c r="AL12" s="46">
        <f t="shared" si="15"/>
        <v>0</v>
      </c>
      <c r="AM12" s="46">
        <f t="shared" si="15"/>
        <v>110970.02000000002</v>
      </c>
      <c r="AN12" s="46">
        <f t="shared" si="15"/>
        <v>2696333.03</v>
      </c>
      <c r="AO12" s="45">
        <f t="shared" si="14"/>
        <v>1740722.53</v>
      </c>
      <c r="AP12" s="45">
        <f t="shared" si="14"/>
        <v>0</v>
      </c>
      <c r="AQ12" s="45">
        <f t="shared" si="14"/>
        <v>290120.42166666663</v>
      </c>
    </row>
    <row r="13" spans="1:43" s="6" customFormat="1" ht="29.25" customHeight="1" thickBot="1">
      <c r="A13" s="132">
        <v>8</v>
      </c>
      <c r="B13" s="128" t="s">
        <v>15</v>
      </c>
      <c r="C13" s="241">
        <v>167640</v>
      </c>
      <c r="D13" s="58">
        <v>15000</v>
      </c>
      <c r="E13" s="59">
        <v>13130</v>
      </c>
      <c r="F13" s="24">
        <f>D13-E13</f>
        <v>1870</v>
      </c>
      <c r="G13" s="60">
        <v>0</v>
      </c>
      <c r="H13" s="58">
        <v>15000</v>
      </c>
      <c r="I13" s="58">
        <v>0</v>
      </c>
      <c r="J13" s="197">
        <f>H13+I13</f>
        <v>15000</v>
      </c>
      <c r="K13" s="59">
        <v>14850</v>
      </c>
      <c r="L13" s="24">
        <f>J13-K13</f>
        <v>150</v>
      </c>
      <c r="M13" s="58">
        <v>15000</v>
      </c>
      <c r="N13" s="59">
        <v>14940</v>
      </c>
      <c r="O13" s="24">
        <f>M13-N13</f>
        <v>60</v>
      </c>
      <c r="P13" s="24">
        <v>0</v>
      </c>
      <c r="Q13" s="24">
        <v>0</v>
      </c>
      <c r="R13" s="255">
        <f>E13+K13+N13</f>
        <v>42920</v>
      </c>
      <c r="S13" s="56">
        <v>15000</v>
      </c>
      <c r="T13" s="181">
        <f>Q13+S13</f>
        <v>15000</v>
      </c>
      <c r="U13" s="103">
        <v>15000</v>
      </c>
      <c r="V13" s="114">
        <f>T13-U13</f>
        <v>0</v>
      </c>
      <c r="W13" s="133">
        <v>15000</v>
      </c>
      <c r="X13" s="103">
        <v>15000</v>
      </c>
      <c r="Y13" s="91">
        <f>W13-X13</f>
        <v>0</v>
      </c>
      <c r="Z13" s="134">
        <v>15000</v>
      </c>
      <c r="AA13" s="103">
        <v>14920</v>
      </c>
      <c r="AB13" s="91"/>
      <c r="AC13" s="90">
        <f>Z13-AA13</f>
        <v>80</v>
      </c>
      <c r="AD13" s="330">
        <f>U13+X13+AA13</f>
        <v>44920</v>
      </c>
      <c r="AE13" s="325">
        <v>15000</v>
      </c>
      <c r="AF13" s="370">
        <v>36200</v>
      </c>
      <c r="AG13" s="361">
        <v>15000</v>
      </c>
      <c r="AH13" s="361">
        <v>11000</v>
      </c>
      <c r="AI13" s="352">
        <f>AE13+AG13+AH13</f>
        <v>41000</v>
      </c>
      <c r="AJ13" s="323">
        <f t="shared" si="12"/>
        <v>10200</v>
      </c>
      <c r="AK13" s="342">
        <v>0</v>
      </c>
      <c r="AL13" s="342">
        <v>0</v>
      </c>
      <c r="AM13" s="353">
        <f t="shared" si="11"/>
        <v>10200</v>
      </c>
      <c r="AN13" s="167">
        <f>R13+AD13+AI13+AM13</f>
        <v>139040</v>
      </c>
      <c r="AO13" s="117">
        <f>R13+AD13</f>
        <v>87840</v>
      </c>
      <c r="AP13" s="229"/>
      <c r="AQ13" s="176">
        <f>AO13/6</f>
        <v>14640</v>
      </c>
    </row>
    <row r="14" spans="1:43" s="7" customFormat="1" ht="21" customHeight="1" thickBot="1">
      <c r="A14" s="161"/>
      <c r="B14" s="61" t="s">
        <v>3</v>
      </c>
      <c r="C14" s="55">
        <f aca="true" t="shared" si="16" ref="C14:AQ14">SUM(C13:C13)</f>
        <v>167640</v>
      </c>
      <c r="D14" s="55">
        <f t="shared" si="16"/>
        <v>15000</v>
      </c>
      <c r="E14" s="55">
        <f t="shared" si="16"/>
        <v>13130</v>
      </c>
      <c r="F14" s="55">
        <f t="shared" si="16"/>
        <v>1870</v>
      </c>
      <c r="G14" s="55">
        <f t="shared" si="16"/>
        <v>0</v>
      </c>
      <c r="H14" s="55">
        <f t="shared" si="16"/>
        <v>15000</v>
      </c>
      <c r="I14" s="55">
        <f t="shared" si="16"/>
        <v>0</v>
      </c>
      <c r="J14" s="55">
        <f t="shared" si="16"/>
        <v>15000</v>
      </c>
      <c r="K14" s="55">
        <f t="shared" si="16"/>
        <v>14850</v>
      </c>
      <c r="L14" s="55">
        <f t="shared" si="16"/>
        <v>150</v>
      </c>
      <c r="M14" s="55">
        <f t="shared" si="16"/>
        <v>15000</v>
      </c>
      <c r="N14" s="55">
        <f t="shared" si="16"/>
        <v>14940</v>
      </c>
      <c r="O14" s="55">
        <f t="shared" si="16"/>
        <v>60</v>
      </c>
      <c r="P14" s="55">
        <f t="shared" si="16"/>
        <v>0</v>
      </c>
      <c r="Q14" s="55">
        <f t="shared" si="16"/>
        <v>0</v>
      </c>
      <c r="R14" s="256">
        <f t="shared" si="16"/>
        <v>42920</v>
      </c>
      <c r="S14" s="55">
        <f t="shared" si="16"/>
        <v>15000</v>
      </c>
      <c r="T14" s="55">
        <f t="shared" si="16"/>
        <v>15000</v>
      </c>
      <c r="U14" s="55">
        <f t="shared" si="16"/>
        <v>15000</v>
      </c>
      <c r="V14" s="55">
        <f t="shared" si="16"/>
        <v>0</v>
      </c>
      <c r="W14" s="55">
        <f t="shared" si="16"/>
        <v>15000</v>
      </c>
      <c r="X14" s="55">
        <f t="shared" si="16"/>
        <v>15000</v>
      </c>
      <c r="Y14" s="54">
        <f t="shared" si="16"/>
        <v>0</v>
      </c>
      <c r="Z14" s="55">
        <f t="shared" si="16"/>
        <v>15000</v>
      </c>
      <c r="AA14" s="55">
        <f t="shared" si="16"/>
        <v>14920</v>
      </c>
      <c r="AB14" s="54">
        <f t="shared" si="16"/>
        <v>0</v>
      </c>
      <c r="AC14" s="55">
        <f t="shared" si="16"/>
        <v>80</v>
      </c>
      <c r="AD14" s="219">
        <f t="shared" si="16"/>
        <v>44920</v>
      </c>
      <c r="AE14" s="55">
        <f t="shared" si="16"/>
        <v>15000</v>
      </c>
      <c r="AF14" s="55">
        <f t="shared" si="16"/>
        <v>36200</v>
      </c>
      <c r="AG14" s="199">
        <f aca="true" t="shared" si="17" ref="AG14:AN14">SUM(AG13:AG13)</f>
        <v>15000</v>
      </c>
      <c r="AH14" s="199">
        <f t="shared" si="17"/>
        <v>11000</v>
      </c>
      <c r="AI14" s="55">
        <f t="shared" si="17"/>
        <v>41000</v>
      </c>
      <c r="AJ14" s="55">
        <f t="shared" si="17"/>
        <v>10200</v>
      </c>
      <c r="AK14" s="55">
        <f t="shared" si="17"/>
        <v>0</v>
      </c>
      <c r="AL14" s="55">
        <f t="shared" si="17"/>
        <v>0</v>
      </c>
      <c r="AM14" s="55">
        <f t="shared" si="17"/>
        <v>10200</v>
      </c>
      <c r="AN14" s="55">
        <f t="shared" si="17"/>
        <v>139040</v>
      </c>
      <c r="AO14" s="55">
        <f t="shared" si="16"/>
        <v>87840</v>
      </c>
      <c r="AP14" s="55">
        <f t="shared" si="16"/>
        <v>0</v>
      </c>
      <c r="AQ14" s="55">
        <f t="shared" si="16"/>
        <v>14640</v>
      </c>
    </row>
    <row r="15" spans="1:43" s="233" customFormat="1" ht="28.5" customHeight="1" thickBot="1">
      <c r="A15" s="231"/>
      <c r="B15" s="232" t="s">
        <v>4</v>
      </c>
      <c r="C15" s="136">
        <f aca="true" t="shared" si="18" ref="C15:U15">C12+C14</f>
        <v>3196782.83</v>
      </c>
      <c r="D15" s="45">
        <f t="shared" si="18"/>
        <v>295273.04</v>
      </c>
      <c r="E15" s="45">
        <f t="shared" si="18"/>
        <v>255275.4</v>
      </c>
      <c r="F15" s="36">
        <f t="shared" si="18"/>
        <v>39997.64</v>
      </c>
      <c r="G15" s="45">
        <f t="shared" si="18"/>
        <v>195155.3276923077</v>
      </c>
      <c r="H15" s="45">
        <f t="shared" si="18"/>
        <v>267698.22000000003</v>
      </c>
      <c r="I15" s="36">
        <f t="shared" si="18"/>
        <v>39997.64</v>
      </c>
      <c r="J15" s="45">
        <f t="shared" si="18"/>
        <v>359274.83</v>
      </c>
      <c r="K15" s="45">
        <f t="shared" si="18"/>
        <v>359124.82</v>
      </c>
      <c r="L15" s="179">
        <f t="shared" si="18"/>
        <v>150.00999999998749</v>
      </c>
      <c r="M15" s="45">
        <f t="shared" si="18"/>
        <v>263625.88</v>
      </c>
      <c r="N15" s="45">
        <f t="shared" si="18"/>
        <v>282182.11</v>
      </c>
      <c r="O15" s="179">
        <f t="shared" si="18"/>
        <v>5558.989999999994</v>
      </c>
      <c r="P15" s="45">
        <f t="shared" si="18"/>
        <v>236083.65</v>
      </c>
      <c r="Q15" s="284">
        <f t="shared" si="18"/>
        <v>5708.999999999982</v>
      </c>
      <c r="R15" s="136">
        <f t="shared" si="18"/>
        <v>896582.33</v>
      </c>
      <c r="S15" s="45">
        <f t="shared" si="18"/>
        <v>292952.6</v>
      </c>
      <c r="T15" s="45">
        <f t="shared" si="18"/>
        <v>335491.63</v>
      </c>
      <c r="U15" s="45">
        <f t="shared" si="18"/>
        <v>355446.12000000005</v>
      </c>
      <c r="V15" s="179">
        <f>V6</f>
        <v>2.152705809989129</v>
      </c>
      <c r="W15" s="45">
        <f>W12+W14</f>
        <v>251058.1</v>
      </c>
      <c r="X15" s="45">
        <f>X12+X14</f>
        <v>265691.04000000004</v>
      </c>
      <c r="Y15" s="303">
        <f>Y6</f>
        <v>73.13999999999942</v>
      </c>
      <c r="Z15" s="45">
        <f aca="true" t="shared" si="19" ref="Z15:AQ15">Z12+Z14</f>
        <v>286800.37</v>
      </c>
      <c r="AA15" s="45">
        <f t="shared" si="19"/>
        <v>310843.04000000004</v>
      </c>
      <c r="AB15" s="46">
        <f t="shared" si="19"/>
        <v>-24132.969999999976</v>
      </c>
      <c r="AC15" s="179">
        <f t="shared" si="19"/>
        <v>90.29999999999592</v>
      </c>
      <c r="AD15" s="218">
        <f t="shared" si="19"/>
        <v>931980.2</v>
      </c>
      <c r="AE15" s="45">
        <f t="shared" si="19"/>
        <v>282610.5</v>
      </c>
      <c r="AF15" s="45">
        <f t="shared" si="19"/>
        <v>724200</v>
      </c>
      <c r="AG15" s="200">
        <f aca="true" t="shared" si="20" ref="AG15:AN15">AG12+AG14</f>
        <v>385098</v>
      </c>
      <c r="AH15" s="200">
        <f t="shared" si="20"/>
        <v>217931.98</v>
      </c>
      <c r="AI15" s="45">
        <f t="shared" si="20"/>
        <v>885640.48</v>
      </c>
      <c r="AJ15" s="45">
        <f t="shared" si="20"/>
        <v>121170.02000000002</v>
      </c>
      <c r="AK15" s="45">
        <f t="shared" si="20"/>
        <v>0</v>
      </c>
      <c r="AL15" s="45">
        <f t="shared" si="20"/>
        <v>0</v>
      </c>
      <c r="AM15" s="45">
        <f t="shared" si="20"/>
        <v>121170.02000000002</v>
      </c>
      <c r="AN15" s="45">
        <f t="shared" si="20"/>
        <v>2835373.03</v>
      </c>
      <c r="AO15" s="45">
        <f t="shared" si="19"/>
        <v>1828562.53</v>
      </c>
      <c r="AP15" s="45">
        <f t="shared" si="19"/>
        <v>0</v>
      </c>
      <c r="AQ15" s="45">
        <f t="shared" si="19"/>
        <v>304760.42166666663</v>
      </c>
    </row>
    <row r="16" spans="1:43" s="44" customFormat="1" ht="25.5" customHeight="1" hidden="1" thickBot="1">
      <c r="A16" s="30"/>
      <c r="B16" s="42"/>
      <c r="C16" s="245" t="s">
        <v>61</v>
      </c>
      <c r="D16" s="244">
        <f>99.36+3671.9</f>
        <v>3771.26</v>
      </c>
      <c r="E16" s="271">
        <v>3771.26</v>
      </c>
      <c r="F16" s="264" t="s">
        <v>37</v>
      </c>
      <c r="G16" s="265">
        <f>F15*100/G15</f>
        <v>20.4952846909014</v>
      </c>
      <c r="H16" s="32"/>
      <c r="I16" s="32"/>
      <c r="J16" s="408" t="s">
        <v>82</v>
      </c>
      <c r="K16" s="409"/>
      <c r="L16" s="266">
        <v>150</v>
      </c>
      <c r="M16" s="284">
        <f>L15+O5+O6+O7+O13</f>
        <v>5708.999999999982</v>
      </c>
      <c r="N16" s="264" t="s">
        <v>37</v>
      </c>
      <c r="O16" s="267">
        <f>M16*100/P15</f>
        <v>2.418210663889677</v>
      </c>
      <c r="P16" s="191"/>
      <c r="Q16" s="191"/>
      <c r="R16" s="235" t="s">
        <v>75</v>
      </c>
      <c r="S16" s="276">
        <v>559650</v>
      </c>
      <c r="T16" s="190"/>
      <c r="U16" s="193" t="s">
        <v>42</v>
      </c>
      <c r="V16" s="196">
        <f>V15</f>
        <v>2.152705809989129</v>
      </c>
      <c r="W16" s="190"/>
      <c r="X16" s="193" t="s">
        <v>42</v>
      </c>
      <c r="Y16" s="196">
        <f>Y15</f>
        <v>73.13999999999942</v>
      </c>
      <c r="Z16" s="190"/>
      <c r="AA16" s="190"/>
      <c r="AB16" s="193" t="s">
        <v>42</v>
      </c>
      <c r="AC16" s="196">
        <f>AC15</f>
        <v>90.29999999999592</v>
      </c>
      <c r="AD16" s="190"/>
      <c r="AE16" s="190"/>
      <c r="AF16" s="190"/>
      <c r="AG16" s="362"/>
      <c r="AH16" s="362"/>
      <c r="AI16" s="344"/>
      <c r="AJ16" s="190"/>
      <c r="AK16" s="190"/>
      <c r="AL16" s="190"/>
      <c r="AM16" s="193" t="s">
        <v>42</v>
      </c>
      <c r="AN16" s="196">
        <f>-V16+Y16+AC16</f>
        <v>161.2872941900062</v>
      </c>
      <c r="AO16" s="190"/>
      <c r="AP16" s="253"/>
      <c r="AQ16" s="82"/>
    </row>
    <row r="17" spans="1:91" s="44" customFormat="1" ht="39" customHeight="1" hidden="1" thickBot="1">
      <c r="A17" s="30"/>
      <c r="B17" s="42"/>
      <c r="C17" s="72"/>
      <c r="D17" s="32"/>
      <c r="E17" s="43"/>
      <c r="F17" s="32"/>
      <c r="G17" s="32"/>
      <c r="H17" s="32"/>
      <c r="I17" s="32"/>
      <c r="J17" s="410" t="s">
        <v>60</v>
      </c>
      <c r="K17" s="411"/>
      <c r="L17" s="244">
        <f>98.25+14336.69+2122.51</f>
        <v>16557.45</v>
      </c>
      <c r="M17" s="32"/>
      <c r="N17" s="282" t="s">
        <v>76</v>
      </c>
      <c r="O17" s="290">
        <f>-(O8+O9+O11)</f>
        <v>24115.219999999987</v>
      </c>
      <c r="P17" s="412" t="s">
        <v>77</v>
      </c>
      <c r="Q17" s="345"/>
      <c r="S17" s="83"/>
      <c r="T17" s="83"/>
      <c r="U17" s="282" t="s">
        <v>84</v>
      </c>
      <c r="V17" s="296">
        <f>-(V8+V9+V11)</f>
        <v>19956.638734842527</v>
      </c>
      <c r="W17" s="301"/>
      <c r="X17" s="282" t="s">
        <v>90</v>
      </c>
      <c r="Y17" s="289">
        <f>-(Y5+Y7+Y8+Y9+Y11)</f>
        <v>14706.079999999998</v>
      </c>
      <c r="Z17" s="316"/>
      <c r="AA17" s="317"/>
      <c r="AB17" s="282" t="s">
        <v>97</v>
      </c>
      <c r="AC17" s="336">
        <f>-(AB11+AB9+AB8+AB7+AB5)</f>
        <v>24132.969999999976</v>
      </c>
      <c r="AD17" s="404" t="s">
        <v>98</v>
      </c>
      <c r="AE17" s="405"/>
      <c r="AF17" s="317"/>
      <c r="AG17" s="363"/>
      <c r="AH17" s="363"/>
      <c r="AI17" s="349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</row>
    <row r="18" spans="1:91" s="44" customFormat="1" ht="39" customHeight="1" thickBot="1">
      <c r="A18" s="30"/>
      <c r="B18" s="42"/>
      <c r="C18" s="72"/>
      <c r="D18" s="32"/>
      <c r="E18" s="43"/>
      <c r="F18" s="32"/>
      <c r="G18" s="32"/>
      <c r="H18" s="32"/>
      <c r="I18" s="32"/>
      <c r="J18" s="337"/>
      <c r="K18" s="290"/>
      <c r="L18" s="244"/>
      <c r="M18" s="32"/>
      <c r="N18" s="282"/>
      <c r="O18" s="290"/>
      <c r="P18" s="414"/>
      <c r="Q18" s="414"/>
      <c r="S18" s="83"/>
      <c r="T18" s="83"/>
      <c r="U18" s="282"/>
      <c r="V18" s="296"/>
      <c r="W18" s="341"/>
      <c r="X18" s="282"/>
      <c r="Y18" s="289"/>
      <c r="Z18" s="317"/>
      <c r="AA18" s="317"/>
      <c r="AB18" s="415"/>
      <c r="AC18" s="336"/>
      <c r="AD18" s="317"/>
      <c r="AE18" s="317"/>
      <c r="AF18" s="317"/>
      <c r="AG18" s="363"/>
      <c r="AH18" s="363"/>
      <c r="AI18" s="349"/>
      <c r="AJ18" s="317"/>
      <c r="AK18" s="317"/>
      <c r="AL18" s="317"/>
      <c r="AM18" s="317"/>
      <c r="AN18" s="317"/>
      <c r="AO18" s="317"/>
      <c r="AP18" s="317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</row>
    <row r="19" spans="2:43" s="29" customFormat="1" ht="45.75" customHeight="1" thickBot="1">
      <c r="B19" s="63" t="s">
        <v>16</v>
      </c>
      <c r="C19" s="242" t="s">
        <v>46</v>
      </c>
      <c r="D19" s="18" t="s">
        <v>47</v>
      </c>
      <c r="E19" s="38" t="s">
        <v>18</v>
      </c>
      <c r="F19" s="175" t="s">
        <v>48</v>
      </c>
      <c r="G19" s="248"/>
      <c r="H19" s="19" t="s">
        <v>49</v>
      </c>
      <c r="I19" s="173" t="s">
        <v>50</v>
      </c>
      <c r="J19" s="165" t="s">
        <v>51</v>
      </c>
      <c r="K19" s="38" t="s">
        <v>19</v>
      </c>
      <c r="L19" s="78" t="s">
        <v>52</v>
      </c>
      <c r="M19" s="19" t="s">
        <v>53</v>
      </c>
      <c r="N19" s="38" t="s">
        <v>32</v>
      </c>
      <c r="O19" s="78" t="s">
        <v>39</v>
      </c>
      <c r="P19" s="293" t="s">
        <v>80</v>
      </c>
      <c r="Q19" s="293" t="s">
        <v>81</v>
      </c>
      <c r="R19" s="254" t="s">
        <v>55</v>
      </c>
      <c r="S19" s="188" t="s">
        <v>71</v>
      </c>
      <c r="T19" s="180" t="s">
        <v>40</v>
      </c>
      <c r="U19" s="101" t="s">
        <v>33</v>
      </c>
      <c r="V19" s="78" t="s">
        <v>41</v>
      </c>
      <c r="W19" s="268" t="s">
        <v>72</v>
      </c>
      <c r="X19" s="101" t="s">
        <v>34</v>
      </c>
      <c r="Y19" s="78" t="s">
        <v>43</v>
      </c>
      <c r="Z19" s="269" t="s">
        <v>73</v>
      </c>
      <c r="AA19" s="113" t="s">
        <v>35</v>
      </c>
      <c r="AB19" s="209" t="s">
        <v>96</v>
      </c>
      <c r="AC19" s="78" t="s">
        <v>94</v>
      </c>
      <c r="AD19" s="329" t="s">
        <v>68</v>
      </c>
      <c r="AE19" s="322" t="s">
        <v>95</v>
      </c>
      <c r="AF19" s="367" t="s">
        <v>111</v>
      </c>
      <c r="AG19" s="217" t="s">
        <v>104</v>
      </c>
      <c r="AH19" s="217" t="s">
        <v>105</v>
      </c>
      <c r="AI19" s="351" t="s">
        <v>106</v>
      </c>
      <c r="AJ19" s="322" t="s">
        <v>107</v>
      </c>
      <c r="AK19" s="322" t="s">
        <v>108</v>
      </c>
      <c r="AL19" s="322" t="s">
        <v>109</v>
      </c>
      <c r="AM19" s="351" t="s">
        <v>110</v>
      </c>
      <c r="AN19" s="166" t="s">
        <v>69</v>
      </c>
      <c r="AO19" s="273" t="s">
        <v>70</v>
      </c>
      <c r="AP19" s="125" t="s">
        <v>89</v>
      </c>
      <c r="AQ19" s="77"/>
    </row>
    <row r="20" spans="2:43" s="29" customFormat="1" ht="43.5" customHeight="1" thickBot="1">
      <c r="B20" s="64" t="s">
        <v>13</v>
      </c>
      <c r="C20" s="243" t="e">
        <f>C15+#REF!</f>
        <v>#REF!</v>
      </c>
      <c r="D20" s="65" t="e">
        <f>D15+#REF!-D21</f>
        <v>#REF!</v>
      </c>
      <c r="E20" s="66" t="e">
        <f>E15+#REF!</f>
        <v>#REF!</v>
      </c>
      <c r="F20" s="76" t="e">
        <f>F15+#REF!</f>
        <v>#REF!</v>
      </c>
      <c r="G20" s="172"/>
      <c r="H20" s="104" t="e">
        <f>H15+#REF!</f>
        <v>#REF!</v>
      </c>
      <c r="I20" s="89" t="e">
        <f>I15+#REF!</f>
        <v>#REF!</v>
      </c>
      <c r="J20" s="174" t="e">
        <f>J15+#REF!</f>
        <v>#REF!</v>
      </c>
      <c r="K20" s="66" t="e">
        <f>K15+#REF!</f>
        <v>#REF!</v>
      </c>
      <c r="L20" s="81" t="e">
        <f>L15+#REF!</f>
        <v>#REF!</v>
      </c>
      <c r="M20" s="67" t="e">
        <f>M15+#REF!</f>
        <v>#REF!</v>
      </c>
      <c r="N20" s="88" t="e">
        <f>N15+#REF!</f>
        <v>#REF!</v>
      </c>
      <c r="O20" s="89" t="e">
        <f>M16+#REF!</f>
        <v>#REF!</v>
      </c>
      <c r="P20" s="104"/>
      <c r="Q20" s="192" t="e">
        <f>Q15+#REF!</f>
        <v>#REF!</v>
      </c>
      <c r="R20" s="95">
        <f>R15+'R-2021'!R21</f>
        <v>1681902.33</v>
      </c>
      <c r="S20" s="104" t="e">
        <f>S15+#REF!</f>
        <v>#REF!</v>
      </c>
      <c r="T20" s="182" t="e">
        <f>T15+#REF!</f>
        <v>#REF!</v>
      </c>
      <c r="U20" s="105" t="e">
        <f>U15+#REF!</f>
        <v>#REF!</v>
      </c>
      <c r="V20" s="192" t="e">
        <f>V15+#REF!</f>
        <v>#REF!</v>
      </c>
      <c r="W20" s="53" t="e">
        <f>W15+#REF!</f>
        <v>#REF!</v>
      </c>
      <c r="X20" s="105" t="e">
        <f>X15+#REF!</f>
        <v>#REF!</v>
      </c>
      <c r="Y20" s="192" t="e">
        <f>Y15+#REF!</f>
        <v>#REF!</v>
      </c>
      <c r="Z20" s="104" t="e">
        <f>Z15+#REF!</f>
        <v>#REF!</v>
      </c>
      <c r="AA20" s="215" t="e">
        <f>AA15+#REF!</f>
        <v>#REF!</v>
      </c>
      <c r="AB20" s="274" t="e">
        <f>AC17+#REF!</f>
        <v>#REF!</v>
      </c>
      <c r="AC20" s="89" t="e">
        <f>AC15+#REF!</f>
        <v>#REF!</v>
      </c>
      <c r="AD20" s="279">
        <f>AD15+'R-2021'!AC21</f>
        <v>1800481.2</v>
      </c>
      <c r="AE20" s="326">
        <f>AE15+'R-2021'!AD21</f>
        <v>502610.5</v>
      </c>
      <c r="AF20" s="372">
        <f>AF15+'R-2021'!AE21</f>
        <v>1207000</v>
      </c>
      <c r="AG20" s="364">
        <f>AG15+'R-2021'!AF21</f>
        <v>580338</v>
      </c>
      <c r="AH20" s="364">
        <f>AH15+'R-2021'!AG21</f>
        <v>389418.33999999997</v>
      </c>
      <c r="AI20" s="373">
        <f>AI15+'R-2021'!AH21</f>
        <v>1472366.8399999999</v>
      </c>
      <c r="AJ20" s="343">
        <f>AJ15+'R-2021'!AI21</f>
        <v>230146.27000000002</v>
      </c>
      <c r="AK20" s="343">
        <f>AK15+'R-2021'!AJ21</f>
        <v>7097.390000000014</v>
      </c>
      <c r="AL20" s="343">
        <f>AL15+'R-2021'!AK21</f>
        <v>0</v>
      </c>
      <c r="AM20" s="374">
        <f>AM15+'R-2021'!AL21</f>
        <v>237243.66000000003</v>
      </c>
      <c r="AN20" s="371">
        <f>AN15+'R-2021'!AM21</f>
        <v>5191994.029999999</v>
      </c>
      <c r="AO20" s="385">
        <f>AO15+'R-2021'!AN21</f>
        <v>3482383.5300000003</v>
      </c>
      <c r="AP20" s="104" t="e">
        <f>AP15+#REF!</f>
        <v>#REF!</v>
      </c>
      <c r="AQ20" s="77"/>
    </row>
    <row r="21" spans="3:40" ht="33" customHeight="1" thickBot="1">
      <c r="C21" s="245" t="s">
        <v>62</v>
      </c>
      <c r="D21" s="244" t="e">
        <f>D16+#REF!</f>
        <v>#REF!</v>
      </c>
      <c r="E21" s="27" t="s">
        <v>58</v>
      </c>
      <c r="F21" s="27"/>
      <c r="G21" s="27"/>
      <c r="H21" s="27"/>
      <c r="I21" s="27"/>
      <c r="J21" s="410" t="s">
        <v>67</v>
      </c>
      <c r="K21" s="411"/>
      <c r="L21" s="251" t="e">
        <f>L17+#REF!</f>
        <v>#REF!</v>
      </c>
      <c r="M21" s="346" t="s">
        <v>78</v>
      </c>
      <c r="N21" s="347"/>
      <c r="O21" s="289" t="e">
        <f>O17+#REF!</f>
        <v>#REF!</v>
      </c>
      <c r="P21" s="406" t="s">
        <v>79</v>
      </c>
      <c r="Q21" s="348"/>
      <c r="R21" s="281"/>
      <c r="S21" s="112">
        <f>559650+373100</f>
        <v>932750</v>
      </c>
      <c r="U21" s="282" t="s">
        <v>84</v>
      </c>
      <c r="V21" s="193" t="s">
        <v>42</v>
      </c>
      <c r="W21" s="89" t="e">
        <f>V16+#REF!</f>
        <v>#REF!</v>
      </c>
      <c r="X21" s="282" t="s">
        <v>90</v>
      </c>
      <c r="Y21" s="251" t="e">
        <f>Y17+#REF!</f>
        <v>#REF!</v>
      </c>
      <c r="AD21" s="393"/>
      <c r="AE21" s="320"/>
      <c r="AF21" s="320"/>
      <c r="AG21" s="365"/>
      <c r="AH21" s="365"/>
      <c r="AI21" s="350"/>
      <c r="AJ21" s="320"/>
      <c r="AK21" s="320"/>
      <c r="AL21" s="320"/>
      <c r="AM21" s="394" t="s">
        <v>117</v>
      </c>
      <c r="AN21" s="395">
        <f>R29-AN20</f>
        <v>5695.970000000671</v>
      </c>
    </row>
    <row r="22" spans="2:41" ht="36" customHeight="1" hidden="1" thickBot="1">
      <c r="B22" s="204" t="s">
        <v>64</v>
      </c>
      <c r="C22" s="205">
        <v>1398000</v>
      </c>
      <c r="D22" s="225"/>
      <c r="E22" s="274" t="e">
        <f>E16+#REF!</f>
        <v>#REF!</v>
      </c>
      <c r="F22" s="225"/>
      <c r="G22" s="225"/>
      <c r="H22" s="225"/>
      <c r="I22" s="225"/>
      <c r="J22" s="249" t="s">
        <v>67</v>
      </c>
      <c r="K22" s="263" t="s">
        <v>65</v>
      </c>
      <c r="L22" s="250"/>
      <c r="M22" s="250"/>
      <c r="N22" s="250"/>
      <c r="O22" s="250"/>
      <c r="P22" s="250"/>
      <c r="Q22" s="250"/>
      <c r="R22" s="251" t="e">
        <f>D21+L21+O21+U22</f>
        <v>#REF!</v>
      </c>
      <c r="U22" s="274" t="e">
        <f>V17+#REF!</f>
        <v>#REF!</v>
      </c>
      <c r="V22" s="406" t="s">
        <v>87</v>
      </c>
      <c r="W22" s="407"/>
      <c r="X22" s="193" t="s">
        <v>91</v>
      </c>
      <c r="Y22" s="262" t="e">
        <f>Y16+#REF!</f>
        <v>#REF!</v>
      </c>
      <c r="AB22" s="193" t="s">
        <v>101</v>
      </c>
      <c r="AC22" s="262" t="e">
        <f>AC20</f>
        <v>#REF!</v>
      </c>
      <c r="AD22" s="227"/>
      <c r="AE22" s="320"/>
      <c r="AF22" s="320"/>
      <c r="AG22" s="365"/>
      <c r="AH22" s="365"/>
      <c r="AI22" s="350"/>
      <c r="AJ22" s="320"/>
      <c r="AK22" s="320"/>
      <c r="AL22" s="320"/>
      <c r="AM22" s="320"/>
      <c r="AN22" s="321"/>
      <c r="AO22" s="311"/>
    </row>
    <row r="23" spans="2:41" ht="25.5" customHeight="1" hidden="1" thickBot="1">
      <c r="B23" s="206"/>
      <c r="C23" s="207">
        <v>466000</v>
      </c>
      <c r="D23" s="226"/>
      <c r="E23" s="226"/>
      <c r="F23" s="226"/>
      <c r="G23" s="226"/>
      <c r="H23" s="226"/>
      <c r="I23" s="226"/>
      <c r="J23" s="261" t="s">
        <v>63</v>
      </c>
      <c r="K23" s="262" t="e">
        <f>L16+#REF!</f>
        <v>#REF!</v>
      </c>
      <c r="L23" s="226"/>
      <c r="M23" s="226"/>
      <c r="N23" s="226"/>
      <c r="O23" s="226"/>
      <c r="P23" s="226"/>
      <c r="Q23" s="226"/>
      <c r="R23" s="222"/>
      <c r="AB23" s="335" t="s">
        <v>102</v>
      </c>
      <c r="AC23" s="334" t="e">
        <f>Y22+AC22</f>
        <v>#REF!</v>
      </c>
      <c r="AD23" s="115"/>
      <c r="AE23" s="37"/>
      <c r="AF23" s="37"/>
      <c r="AG23" s="366"/>
      <c r="AH23" s="366"/>
      <c r="AI23" s="121"/>
      <c r="AJ23" s="37"/>
      <c r="AK23" s="37"/>
      <c r="AL23" s="37"/>
      <c r="AM23" s="193" t="s">
        <v>42</v>
      </c>
      <c r="AN23" s="300">
        <f>AN16+'R-2021'!AM23</f>
        <v>5693.077294190017</v>
      </c>
      <c r="AO23" s="312"/>
    </row>
    <row r="24" spans="2:41" ht="25.5" customHeight="1" hidden="1" thickBot="1">
      <c r="B24" s="220"/>
      <c r="C24" s="223"/>
      <c r="D24" s="221"/>
      <c r="E24" s="221"/>
      <c r="F24" s="221"/>
      <c r="G24" s="221"/>
      <c r="H24" s="221"/>
      <c r="I24" s="221"/>
      <c r="J24" s="221"/>
      <c r="K24" s="221"/>
      <c r="L24" s="221"/>
      <c r="M24" s="221" t="s">
        <v>66</v>
      </c>
      <c r="N24" s="221"/>
      <c r="O24" s="221"/>
      <c r="P24" s="221"/>
      <c r="Q24" s="221"/>
      <c r="R24" s="223" t="e">
        <f>C22+R22-K23</f>
        <v>#REF!</v>
      </c>
      <c r="AD24" s="115"/>
      <c r="AE24" s="37"/>
      <c r="AF24" s="37"/>
      <c r="AG24" s="366"/>
      <c r="AH24" s="366"/>
      <c r="AI24" s="121"/>
      <c r="AJ24" s="37"/>
      <c r="AK24" s="37"/>
      <c r="AL24" s="37"/>
      <c r="AM24" s="37"/>
      <c r="AN24" s="313"/>
      <c r="AO24" s="314"/>
    </row>
    <row r="25" spans="2:41" ht="25.5" customHeight="1" hidden="1" thickBot="1">
      <c r="B25" s="257" t="s">
        <v>88</v>
      </c>
      <c r="C25" s="280">
        <v>3070000</v>
      </c>
      <c r="D25" s="224"/>
      <c r="E25" s="309">
        <v>3186320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30"/>
      <c r="AD25" s="129"/>
      <c r="AE25" s="37"/>
      <c r="AF25" s="37"/>
      <c r="AG25" s="366"/>
      <c r="AH25" s="366"/>
      <c r="AI25" s="121"/>
      <c r="AJ25" s="37"/>
      <c r="AK25" s="37"/>
      <c r="AL25" s="37"/>
      <c r="AM25" s="37"/>
      <c r="AN25" s="313"/>
      <c r="AO25" s="37"/>
    </row>
    <row r="26" spans="2:41" ht="19.5" customHeight="1" hidden="1" thickBot="1">
      <c r="B26" s="257" t="s">
        <v>92</v>
      </c>
      <c r="C26" s="318">
        <v>72293.07</v>
      </c>
      <c r="D26" s="319"/>
      <c r="E26" s="319">
        <v>3323950</v>
      </c>
      <c r="R26" s="2"/>
      <c r="AD26" s="129"/>
      <c r="AE26" s="37"/>
      <c r="AF26" s="37"/>
      <c r="AG26" s="366"/>
      <c r="AH26" s="366"/>
      <c r="AI26" s="121"/>
      <c r="AJ26" s="37"/>
      <c r="AK26" s="37"/>
      <c r="AL26" s="37"/>
      <c r="AM26" s="37"/>
      <c r="AN26" s="313"/>
      <c r="AO26" s="37"/>
    </row>
    <row r="27" spans="2:41" ht="25.5" customHeight="1" hidden="1" thickBot="1">
      <c r="B27" s="332" t="s">
        <v>45</v>
      </c>
      <c r="C27" s="333">
        <v>3982180</v>
      </c>
      <c r="R27" s="201">
        <v>3982180</v>
      </c>
      <c r="AD27" s="129"/>
      <c r="AE27" s="37"/>
      <c r="AF27" s="37"/>
      <c r="AG27" s="366"/>
      <c r="AH27" s="366"/>
      <c r="AI27" s="121"/>
      <c r="AJ27" s="37"/>
      <c r="AK27" s="37"/>
      <c r="AL27" s="37"/>
      <c r="AM27" s="37"/>
      <c r="AN27" s="310"/>
      <c r="AO27" s="315"/>
    </row>
    <row r="28" spans="2:41" ht="15" customHeight="1" hidden="1" thickBot="1">
      <c r="B28" s="257" t="s">
        <v>100</v>
      </c>
      <c r="C28" s="386">
        <f>C25+C26</f>
        <v>3142293.07</v>
      </c>
      <c r="D28" s="387"/>
      <c r="E28" s="388">
        <f>E26+550000</f>
        <v>3873950</v>
      </c>
      <c r="AD28" s="129"/>
      <c r="AE28" s="37"/>
      <c r="AF28" s="37"/>
      <c r="AG28" s="366"/>
      <c r="AH28" s="366"/>
      <c r="AI28" s="121"/>
      <c r="AJ28" s="37"/>
      <c r="AK28" s="37"/>
      <c r="AL28" s="37"/>
      <c r="AM28" s="37"/>
      <c r="AN28" s="310"/>
      <c r="AO28" s="129"/>
    </row>
    <row r="29" spans="1:41" ht="25.5" customHeight="1" thickBot="1">
      <c r="A29" s="413"/>
      <c r="B29" s="389" t="s">
        <v>115</v>
      </c>
      <c r="C29" s="390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2">
        <v>5197690</v>
      </c>
      <c r="AN29" s="396" t="s">
        <v>114</v>
      </c>
      <c r="AO29" s="2"/>
    </row>
  </sheetData>
  <sheetProtection/>
  <mergeCells count="8">
    <mergeCell ref="AD17:AE17"/>
    <mergeCell ref="V22:W22"/>
    <mergeCell ref="J16:K16"/>
    <mergeCell ref="J17:K17"/>
    <mergeCell ref="J21:K21"/>
    <mergeCell ref="P17:Q17"/>
    <mergeCell ref="M21:N21"/>
    <mergeCell ref="P21:Q21"/>
  </mergeCells>
  <printOptions/>
  <pageMargins left="0.16" right="0.16" top="0.48" bottom="0.21" header="0.68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2021-08-04T10:18:42Z</cp:lastPrinted>
  <dcterms:created xsi:type="dcterms:W3CDTF">2010-05-25T05:24:31Z</dcterms:created>
  <dcterms:modified xsi:type="dcterms:W3CDTF">2021-08-09T09:05:50Z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