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.lungu\Desktop\"/>
    </mc:Choice>
  </mc:AlternateContent>
  <xr:revisionPtr revIDLastSave="0" documentId="13_ncr:1_{107BC6A0-7D11-4E5F-8A54-9EB1BFF931A6}" xr6:coauthVersionLast="47" xr6:coauthVersionMax="47" xr10:uidLastSave="{00000000-0000-0000-0000-000000000000}"/>
  <bookViews>
    <workbookView xWindow="-120" yWindow="-120" windowWidth="29040" windowHeight="15840" activeTab="1" xr2:uid="{2BA2D7EF-9CC1-4BC5-8B9B-17419CCE9D08}"/>
  </bookViews>
  <sheets>
    <sheet name="dupaOCT-R" sheetId="1" r:id="rId1"/>
    <sheet name="dupa OCT-L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24" i="2" l="1"/>
  <c r="BS22" i="2"/>
  <c r="BP22" i="2"/>
  <c r="BJ22" i="2"/>
  <c r="BJ24" i="2" s="1"/>
  <c r="BS21" i="2"/>
  <c r="C21" i="2"/>
  <c r="BS20" i="2"/>
  <c r="U19" i="2"/>
  <c r="O19" i="2"/>
  <c r="BS17" i="2"/>
  <c r="BS16" i="2"/>
  <c r="BS15" i="2"/>
  <c r="AO14" i="2"/>
  <c r="AO19" i="2" s="1"/>
  <c r="AK14" i="2"/>
  <c r="AK19" i="2" s="1"/>
  <c r="V14" i="2"/>
  <c r="BR13" i="2"/>
  <c r="BR14" i="2" s="1"/>
  <c r="BR19" i="2" s="1"/>
  <c r="BN13" i="2"/>
  <c r="BM13" i="2"/>
  <c r="BJ13" i="2"/>
  <c r="BJ14" i="2" s="1"/>
  <c r="BJ19" i="2" s="1"/>
  <c r="BF13" i="2"/>
  <c r="BF14" i="2" s="1"/>
  <c r="BF19" i="2" s="1"/>
  <c r="BD13" i="2"/>
  <c r="BC13" i="2"/>
  <c r="BC14" i="2" s="1"/>
  <c r="BC19" i="2" s="1"/>
  <c r="BB13" i="2"/>
  <c r="BA13" i="2"/>
  <c r="AQ13" i="2"/>
  <c r="AK13" i="2"/>
  <c r="AC13" i="2"/>
  <c r="AA13" i="2"/>
  <c r="Z13" i="2"/>
  <c r="Y13" i="2"/>
  <c r="U13" i="2"/>
  <c r="T13" i="2"/>
  <c r="Q13" i="2"/>
  <c r="P13" i="2"/>
  <c r="O13" i="2"/>
  <c r="N13" i="2"/>
  <c r="M13" i="2"/>
  <c r="K13" i="2"/>
  <c r="I13" i="2"/>
  <c r="H13" i="2"/>
  <c r="G13" i="2"/>
  <c r="E13" i="2"/>
  <c r="D13" i="2"/>
  <c r="C13" i="2"/>
  <c r="BN12" i="2"/>
  <c r="BL12" i="2"/>
  <c r="BL13" i="2" s="1"/>
  <c r="BK12" i="2"/>
  <c r="BO12" i="2" s="1"/>
  <c r="BO13" i="2" s="1"/>
  <c r="BE12" i="2"/>
  <c r="BE13" i="2" s="1"/>
  <c r="AY12" i="2"/>
  <c r="AY13" i="2" s="1"/>
  <c r="AX12" i="2"/>
  <c r="AV12" i="2"/>
  <c r="AP12" i="2"/>
  <c r="AR12" i="2" s="1"/>
  <c r="AL12" i="2"/>
  <c r="AJ12" i="2"/>
  <c r="AG12" i="2"/>
  <c r="AE12" i="2"/>
  <c r="AB12" i="2"/>
  <c r="Z12" i="2"/>
  <c r="V12" i="2"/>
  <c r="S12" i="2"/>
  <c r="S13" i="2" s="1"/>
  <c r="R12" i="2"/>
  <c r="R13" i="2" s="1"/>
  <c r="O12" i="2"/>
  <c r="J12" i="2"/>
  <c r="F12" i="2"/>
  <c r="BR11" i="2"/>
  <c r="BM11" i="2"/>
  <c r="BM14" i="2" s="1"/>
  <c r="BM19" i="2" s="1"/>
  <c r="BJ11" i="2"/>
  <c r="BF11" i="2"/>
  <c r="BD11" i="2"/>
  <c r="BD14" i="2" s="1"/>
  <c r="BD19" i="2" s="1"/>
  <c r="BC11" i="2"/>
  <c r="BB11" i="2"/>
  <c r="BB14" i="2" s="1"/>
  <c r="BB19" i="2" s="1"/>
  <c r="BA11" i="2"/>
  <c r="BA14" i="2" s="1"/>
  <c r="BA19" i="2" s="1"/>
  <c r="AW11" i="2"/>
  <c r="AW14" i="2" s="1"/>
  <c r="AW19" i="2" s="1"/>
  <c r="AQ11" i="2"/>
  <c r="AQ14" i="2" s="1"/>
  <c r="AQ19" i="2" s="1"/>
  <c r="AK11" i="2"/>
  <c r="AD11" i="2"/>
  <c r="AD14" i="2" s="1"/>
  <c r="AD19" i="2" s="1"/>
  <c r="AA11" i="2"/>
  <c r="AA14" i="2" s="1"/>
  <c r="AA19" i="2" s="1"/>
  <c r="U11" i="2"/>
  <c r="U14" i="2" s="1"/>
  <c r="T11" i="2"/>
  <c r="T14" i="2" s="1"/>
  <c r="T19" i="2" s="1"/>
  <c r="Q11" i="2"/>
  <c r="Q14" i="2" s="1"/>
  <c r="Q19" i="2" s="1"/>
  <c r="P11" i="2"/>
  <c r="P14" i="2" s="1"/>
  <c r="K11" i="2"/>
  <c r="K14" i="2" s="1"/>
  <c r="K19" i="2" s="1"/>
  <c r="E11" i="2"/>
  <c r="E14" i="2" s="1"/>
  <c r="E19" i="2" s="1"/>
  <c r="C11" i="2"/>
  <c r="C14" i="2" s="1"/>
  <c r="C19" i="2" s="1"/>
  <c r="BN10" i="2"/>
  <c r="BK10" i="2"/>
  <c r="BE10" i="2"/>
  <c r="BG10" i="2" s="1"/>
  <c r="AZ10" i="2"/>
  <c r="AY10" i="2"/>
  <c r="AV10" i="2"/>
  <c r="AX10" i="2" s="1"/>
  <c r="AO10" i="2"/>
  <c r="AJ10" i="2"/>
  <c r="AL10" i="2" s="1"/>
  <c r="AG10" i="2"/>
  <c r="AE10" i="2"/>
  <c r="AC10" i="2"/>
  <c r="Z10" i="2"/>
  <c r="AB10" i="2" s="1"/>
  <c r="V10" i="2"/>
  <c r="T10" i="2"/>
  <c r="S10" i="2"/>
  <c r="R10" i="2"/>
  <c r="O10" i="2"/>
  <c r="M10" i="2"/>
  <c r="J10" i="2"/>
  <c r="L10" i="2" s="1"/>
  <c r="F10" i="2"/>
  <c r="BN9" i="2"/>
  <c r="BK9" i="2"/>
  <c r="BL9" i="2" s="1"/>
  <c r="BO9" i="2" s="1"/>
  <c r="AZ9" i="2"/>
  <c r="BE9" i="2" s="1"/>
  <c r="BG9" i="2" s="1"/>
  <c r="AY9" i="2"/>
  <c r="AX9" i="2"/>
  <c r="AV9" i="2"/>
  <c r="AR9" i="2"/>
  <c r="AL9" i="2"/>
  <c r="AJ9" i="2"/>
  <c r="AH9" i="2"/>
  <c r="AG9" i="2"/>
  <c r="AE9" i="2"/>
  <c r="AC9" i="2"/>
  <c r="V9" i="2"/>
  <c r="S9" i="2"/>
  <c r="R9" i="2"/>
  <c r="O9" i="2"/>
  <c r="F9" i="2"/>
  <c r="BN8" i="2"/>
  <c r="BK8" i="2"/>
  <c r="AZ8" i="2"/>
  <c r="BE8" i="2" s="1"/>
  <c r="BG8" i="2" s="1"/>
  <c r="AY8" i="2"/>
  <c r="AU8" i="2"/>
  <c r="AO8" i="2"/>
  <c r="AH8" i="2"/>
  <c r="AG8" i="2"/>
  <c r="AC8" i="2"/>
  <c r="AE8" i="2" s="1"/>
  <c r="Y8" i="2"/>
  <c r="T8" i="2"/>
  <c r="V8" i="2" s="1"/>
  <c r="S8" i="2"/>
  <c r="R8" i="2"/>
  <c r="O8" i="2"/>
  <c r="H8" i="2"/>
  <c r="G8" i="2"/>
  <c r="F8" i="2"/>
  <c r="D8" i="2"/>
  <c r="BN7" i="2"/>
  <c r="BK7" i="2"/>
  <c r="BE7" i="2"/>
  <c r="BG7" i="2" s="1"/>
  <c r="AY7" i="2"/>
  <c r="AO7" i="2"/>
  <c r="AG7" i="2" s="1"/>
  <c r="AH7" i="2"/>
  <c r="AH11" i="2" s="1"/>
  <c r="AH14" i="2" s="1"/>
  <c r="AE7" i="2"/>
  <c r="AC7" i="2"/>
  <c r="V7" i="2"/>
  <c r="S7" i="2"/>
  <c r="R7" i="2"/>
  <c r="AF7" i="2" s="1"/>
  <c r="O7" i="2"/>
  <c r="H7" i="2"/>
  <c r="G7" i="2"/>
  <c r="D7" i="2"/>
  <c r="F7" i="2" s="1"/>
  <c r="BN6" i="2"/>
  <c r="BK6" i="2"/>
  <c r="BE6" i="2"/>
  <c r="BG6" i="2" s="1"/>
  <c r="AY6" i="2"/>
  <c r="AU6" i="2"/>
  <c r="AU11" i="2" s="1"/>
  <c r="AU14" i="2" s="1"/>
  <c r="AU19" i="2" s="1"/>
  <c r="AO6" i="2"/>
  <c r="AO11" i="2" s="1"/>
  <c r="AG6" i="2"/>
  <c r="AE6" i="2"/>
  <c r="AE16" i="2" s="1"/>
  <c r="AC20" i="2" s="1"/>
  <c r="AC6" i="2"/>
  <c r="Y6" i="2"/>
  <c r="Y11" i="2" s="1"/>
  <c r="Y14" i="2" s="1"/>
  <c r="Y19" i="2" s="1"/>
  <c r="T6" i="2"/>
  <c r="V6" i="2" s="1"/>
  <c r="V16" i="2" s="1"/>
  <c r="V20" i="2" s="1"/>
  <c r="S6" i="2"/>
  <c r="R6" i="2"/>
  <c r="M6" i="2"/>
  <c r="O6" i="2" s="1"/>
  <c r="H6" i="2"/>
  <c r="H11" i="2" s="1"/>
  <c r="H14" i="2" s="1"/>
  <c r="H19" i="2" s="1"/>
  <c r="G6" i="2"/>
  <c r="G11" i="2" s="1"/>
  <c r="G14" i="2" s="1"/>
  <c r="F6" i="2"/>
  <c r="D6" i="2"/>
  <c r="D11" i="2" s="1"/>
  <c r="D14" i="2" s="1"/>
  <c r="D19" i="2" s="1"/>
  <c r="BN5" i="2"/>
  <c r="BN11" i="2" s="1"/>
  <c r="BN14" i="2" s="1"/>
  <c r="BN19" i="2" s="1"/>
  <c r="BK5" i="2"/>
  <c r="BK11" i="2" s="1"/>
  <c r="BE5" i="2"/>
  <c r="BE11" i="2" s="1"/>
  <c r="BE14" i="2" s="1"/>
  <c r="BE19" i="2" s="1"/>
  <c r="AZ5" i="2"/>
  <c r="AZ11" i="2" s="1"/>
  <c r="AZ14" i="2" s="1"/>
  <c r="AZ19" i="2" s="1"/>
  <c r="AY5" i="2"/>
  <c r="AY11" i="2" s="1"/>
  <c r="AY14" i="2" s="1"/>
  <c r="AY19" i="2" s="1"/>
  <c r="AV5" i="2"/>
  <c r="AX5" i="2" s="1"/>
  <c r="AP5" i="2"/>
  <c r="AJ5" i="2"/>
  <c r="AG5" i="2"/>
  <c r="AE5" i="2"/>
  <c r="AC5" i="2"/>
  <c r="AC11" i="2" s="1"/>
  <c r="AC14" i="2" s="1"/>
  <c r="AC19" i="2" s="1"/>
  <c r="AB5" i="2"/>
  <c r="Z5" i="2"/>
  <c r="V5" i="2"/>
  <c r="V11" i="2" s="1"/>
  <c r="T5" i="2"/>
  <c r="S5" i="2"/>
  <c r="S11" i="2" s="1"/>
  <c r="R5" i="2"/>
  <c r="BQ5" i="2" s="1"/>
  <c r="N5" i="2"/>
  <c r="N11" i="2" s="1"/>
  <c r="N14" i="2" s="1"/>
  <c r="N19" i="2" s="1"/>
  <c r="M5" i="2"/>
  <c r="M11" i="2" s="1"/>
  <c r="M14" i="2" s="1"/>
  <c r="M19" i="2" s="1"/>
  <c r="F5" i="2"/>
  <c r="F11" i="2" s="1"/>
  <c r="F14" i="2" s="1"/>
  <c r="BT26" i="1"/>
  <c r="BQ23" i="1"/>
  <c r="BN23" i="1"/>
  <c r="BJ23" i="1"/>
  <c r="BH23" i="1"/>
  <c r="BG23" i="1"/>
  <c r="BF23" i="1"/>
  <c r="BE23" i="1"/>
  <c r="BC23" i="1"/>
  <c r="AX23" i="1"/>
  <c r="AV23" i="1"/>
  <c r="AR23" i="1"/>
  <c r="AP23" i="1"/>
  <c r="AO23" i="1"/>
  <c r="AN23" i="1"/>
  <c r="AL23" i="1"/>
  <c r="AI23" i="1"/>
  <c r="AE23" i="1"/>
  <c r="AB23" i="1"/>
  <c r="Z23" i="1"/>
  <c r="Y23" i="1"/>
  <c r="X23" i="1"/>
  <c r="V23" i="1"/>
  <c r="T23" i="1"/>
  <c r="Q23" i="1"/>
  <c r="P23" i="1"/>
  <c r="N23" i="1"/>
  <c r="M23" i="1"/>
  <c r="K23" i="1"/>
  <c r="I23" i="1"/>
  <c r="H23" i="1"/>
  <c r="G23" i="1"/>
  <c r="E23" i="1"/>
  <c r="D23" i="1"/>
  <c r="C23" i="1"/>
  <c r="BU22" i="1"/>
  <c r="BR22" i="1"/>
  <c r="BP22" i="1"/>
  <c r="BO22" i="1"/>
  <c r="BS22" i="1" s="1"/>
  <c r="BD22" i="1"/>
  <c r="BI22" i="1" s="1"/>
  <c r="BK22" i="1" s="1"/>
  <c r="BV22" i="1" s="1"/>
  <c r="BB22" i="1"/>
  <c r="AW22" i="1"/>
  <c r="AY22" i="1" s="1"/>
  <c r="AS22" i="1"/>
  <c r="AQ22" i="1"/>
  <c r="AK22" i="1"/>
  <c r="AM22" i="1" s="1"/>
  <c r="AH22" i="1"/>
  <c r="AF22" i="1"/>
  <c r="AA22" i="1"/>
  <c r="AC22" i="1" s="1"/>
  <c r="W22" i="1"/>
  <c r="U22" i="1"/>
  <c r="S22" i="1"/>
  <c r="R22" i="1"/>
  <c r="BT22" i="1" s="1"/>
  <c r="O22" i="1"/>
  <c r="L22" i="1"/>
  <c r="J22" i="1"/>
  <c r="F22" i="1"/>
  <c r="BR21" i="1"/>
  <c r="BS21" i="1" s="1"/>
  <c r="BP21" i="1"/>
  <c r="BO21" i="1"/>
  <c r="BI21" i="1"/>
  <c r="BK21" i="1" s="1"/>
  <c r="BV21" i="1" s="1"/>
  <c r="BD21" i="1"/>
  <c r="BB21" i="1"/>
  <c r="AW21" i="1"/>
  <c r="AY21" i="1" s="1"/>
  <c r="AS21" i="1"/>
  <c r="AQ21" i="1"/>
  <c r="AK21" i="1"/>
  <c r="AM21" i="1" s="1"/>
  <c r="AH21" i="1"/>
  <c r="AF21" i="1"/>
  <c r="AA21" i="1"/>
  <c r="AC21" i="1" s="1"/>
  <c r="W21" i="1"/>
  <c r="U21" i="1"/>
  <c r="S21" i="1"/>
  <c r="R21" i="1"/>
  <c r="BU21" i="1" s="1"/>
  <c r="O21" i="1"/>
  <c r="J21" i="1"/>
  <c r="L21" i="1" s="1"/>
  <c r="F21" i="1"/>
  <c r="BS20" i="1"/>
  <c r="BR20" i="1"/>
  <c r="BO20" i="1"/>
  <c r="BP20" i="1" s="1"/>
  <c r="BK20" i="1"/>
  <c r="BV20" i="1" s="1"/>
  <c r="BI20" i="1"/>
  <c r="BD20" i="1"/>
  <c r="BB20" i="1"/>
  <c r="AY20" i="1"/>
  <c r="AW20" i="1"/>
  <c r="AQ20" i="1"/>
  <c r="AS20" i="1" s="1"/>
  <c r="AM20" i="1"/>
  <c r="AK20" i="1"/>
  <c r="AH20" i="1"/>
  <c r="AF20" i="1"/>
  <c r="AC20" i="1"/>
  <c r="AA20" i="1"/>
  <c r="U20" i="1"/>
  <c r="W20" i="1" s="1"/>
  <c r="S20" i="1"/>
  <c r="R20" i="1"/>
  <c r="BU20" i="1" s="1"/>
  <c r="O20" i="1"/>
  <c r="J20" i="1"/>
  <c r="L20" i="1" s="1"/>
  <c r="F20" i="1"/>
  <c r="BR19" i="1"/>
  <c r="BO19" i="1"/>
  <c r="BS19" i="1" s="1"/>
  <c r="BD19" i="1"/>
  <c r="BI19" i="1" s="1"/>
  <c r="BK19" i="1" s="1"/>
  <c r="BB19" i="1"/>
  <c r="AY19" i="1"/>
  <c r="AW19" i="1"/>
  <c r="AQ19" i="1"/>
  <c r="AS19" i="1" s="1"/>
  <c r="BV19" i="1" s="1"/>
  <c r="AM19" i="1"/>
  <c r="AK19" i="1"/>
  <c r="AH19" i="1"/>
  <c r="AF19" i="1"/>
  <c r="AC19" i="1"/>
  <c r="AA19" i="1"/>
  <c r="U19" i="1"/>
  <c r="W19" i="1" s="1"/>
  <c r="S19" i="1"/>
  <c r="R19" i="1"/>
  <c r="BU19" i="1" s="1"/>
  <c r="O19" i="1"/>
  <c r="L19" i="1"/>
  <c r="J19" i="1"/>
  <c r="F19" i="1"/>
  <c r="BR18" i="1"/>
  <c r="BP18" i="1"/>
  <c r="BO18" i="1"/>
  <c r="BS18" i="1" s="1"/>
  <c r="BD18" i="1"/>
  <c r="BI18" i="1" s="1"/>
  <c r="BK18" i="1" s="1"/>
  <c r="BV18" i="1" s="1"/>
  <c r="BB18" i="1"/>
  <c r="AW18" i="1"/>
  <c r="AY18" i="1" s="1"/>
  <c r="AS18" i="1"/>
  <c r="AQ18" i="1"/>
  <c r="AK18" i="1"/>
  <c r="AM18" i="1" s="1"/>
  <c r="AH18" i="1"/>
  <c r="AA18" i="1"/>
  <c r="AC18" i="1" s="1"/>
  <c r="W18" i="1"/>
  <c r="U18" i="1"/>
  <c r="S18" i="1"/>
  <c r="R18" i="1"/>
  <c r="BU18" i="1" s="1"/>
  <c r="O18" i="1"/>
  <c r="J18" i="1"/>
  <c r="L18" i="1" s="1"/>
  <c r="F18" i="1"/>
  <c r="BS17" i="1"/>
  <c r="BR17" i="1"/>
  <c r="BO17" i="1"/>
  <c r="BP17" i="1" s="1"/>
  <c r="BK17" i="1"/>
  <c r="BV17" i="1" s="1"/>
  <c r="BI17" i="1"/>
  <c r="BD17" i="1"/>
  <c r="BB17" i="1"/>
  <c r="AY17" i="1"/>
  <c r="AW17" i="1"/>
  <c r="AQ17" i="1"/>
  <c r="AS17" i="1" s="1"/>
  <c r="AM17" i="1"/>
  <c r="AK17" i="1"/>
  <c r="AH17" i="1"/>
  <c r="AF17" i="1"/>
  <c r="AC17" i="1"/>
  <c r="AA17" i="1"/>
  <c r="U17" i="1"/>
  <c r="W17" i="1" s="1"/>
  <c r="S17" i="1"/>
  <c r="R17" i="1"/>
  <c r="BU17" i="1" s="1"/>
  <c r="O17" i="1"/>
  <c r="J17" i="1"/>
  <c r="L17" i="1" s="1"/>
  <c r="F17" i="1"/>
  <c r="BR16" i="1"/>
  <c r="BO16" i="1"/>
  <c r="BS16" i="1" s="1"/>
  <c r="BD16" i="1"/>
  <c r="BI16" i="1" s="1"/>
  <c r="BK16" i="1" s="1"/>
  <c r="BV16" i="1" s="1"/>
  <c r="BB16" i="1"/>
  <c r="AY16" i="1"/>
  <c r="AW16" i="1"/>
  <c r="AQ16" i="1"/>
  <c r="AS16" i="1" s="1"/>
  <c r="AM16" i="1"/>
  <c r="AK16" i="1"/>
  <c r="AH16" i="1"/>
  <c r="AF16" i="1"/>
  <c r="AC16" i="1"/>
  <c r="AA16" i="1"/>
  <c r="U16" i="1"/>
  <c r="W16" i="1" s="1"/>
  <c r="S16" i="1"/>
  <c r="R16" i="1"/>
  <c r="BU16" i="1" s="1"/>
  <c r="O16" i="1"/>
  <c r="L16" i="1"/>
  <c r="J16" i="1"/>
  <c r="F16" i="1"/>
  <c r="BU15" i="1"/>
  <c r="BR15" i="1"/>
  <c r="BR23" i="1" s="1"/>
  <c r="BP15" i="1"/>
  <c r="BO15" i="1"/>
  <c r="BO23" i="1" s="1"/>
  <c r="BD15" i="1"/>
  <c r="BD23" i="1" s="1"/>
  <c r="BB15" i="1"/>
  <c r="BB23" i="1" s="1"/>
  <c r="AW15" i="1"/>
  <c r="AW23" i="1" s="1"/>
  <c r="AS15" i="1"/>
  <c r="AQ15" i="1"/>
  <c r="AQ23" i="1" s="1"/>
  <c r="AK15" i="1"/>
  <c r="AK23" i="1" s="1"/>
  <c r="AH15" i="1"/>
  <c r="AH23" i="1" s="1"/>
  <c r="AF15" i="1"/>
  <c r="AA15" i="1"/>
  <c r="AA23" i="1" s="1"/>
  <c r="W15" i="1"/>
  <c r="W23" i="1" s="1"/>
  <c r="U15" i="1"/>
  <c r="U23" i="1" s="1"/>
  <c r="S15" i="1"/>
  <c r="S23" i="1" s="1"/>
  <c r="R15" i="1"/>
  <c r="O15" i="1"/>
  <c r="O23" i="1" s="1"/>
  <c r="L15" i="1"/>
  <c r="L23" i="1" s="1"/>
  <c r="J15" i="1"/>
  <c r="J23" i="1" s="1"/>
  <c r="F15" i="1"/>
  <c r="F23" i="1" s="1"/>
  <c r="BQ14" i="1"/>
  <c r="BQ24" i="1" s="1"/>
  <c r="BN14" i="1"/>
  <c r="BN24" i="1" s="1"/>
  <c r="BJ14" i="1"/>
  <c r="BJ24" i="1" s="1"/>
  <c r="BH14" i="1"/>
  <c r="BH24" i="1" s="1"/>
  <c r="BG14" i="1"/>
  <c r="BG24" i="1" s="1"/>
  <c r="BF14" i="1"/>
  <c r="BF24" i="1" s="1"/>
  <c r="BE14" i="1"/>
  <c r="BE24" i="1" s="1"/>
  <c r="AX14" i="1"/>
  <c r="AX24" i="1" s="1"/>
  <c r="AR14" i="1"/>
  <c r="AR24" i="1" s="1"/>
  <c r="AL14" i="1"/>
  <c r="AL24" i="1" s="1"/>
  <c r="AE14" i="1"/>
  <c r="AE24" i="1" s="1"/>
  <c r="AB14" i="1"/>
  <c r="AB24" i="1" s="1"/>
  <c r="V14" i="1"/>
  <c r="V24" i="1" s="1"/>
  <c r="N14" i="1"/>
  <c r="N24" i="1" s="1"/>
  <c r="F14" i="1"/>
  <c r="F24" i="1" s="1"/>
  <c r="H25" i="1" s="1"/>
  <c r="I8" i="1" s="1"/>
  <c r="J8" i="1" s="1"/>
  <c r="L8" i="1" s="1"/>
  <c r="E14" i="1"/>
  <c r="E24" i="1" s="1"/>
  <c r="C14" i="1"/>
  <c r="C24" i="1" s="1"/>
  <c r="BR13" i="1"/>
  <c r="BO13" i="1"/>
  <c r="BL13" i="1"/>
  <c r="BB13" i="1"/>
  <c r="AN13" i="1"/>
  <c r="AK13" i="1"/>
  <c r="AM13" i="1" s="1"/>
  <c r="AH13" i="1"/>
  <c r="S13" i="1"/>
  <c r="BU13" i="1" s="1"/>
  <c r="BR12" i="1"/>
  <c r="BO12" i="1"/>
  <c r="BL12" i="1"/>
  <c r="BC12" i="1"/>
  <c r="BB12" i="1"/>
  <c r="AZ12" i="1"/>
  <c r="AT12" i="1"/>
  <c r="AN12" i="1"/>
  <c r="AK12" i="1"/>
  <c r="AM12" i="1" s="1"/>
  <c r="AH12" i="1"/>
  <c r="S12" i="1"/>
  <c r="BU11" i="1"/>
  <c r="BR11" i="1"/>
  <c r="BP11" i="1"/>
  <c r="BS11" i="1" s="1"/>
  <c r="BO11" i="1"/>
  <c r="BI11" i="1"/>
  <c r="BK11" i="1" s="1"/>
  <c r="BD11" i="1"/>
  <c r="BB11" i="1"/>
  <c r="AW11" i="1"/>
  <c r="AK11" i="1"/>
  <c r="AH11" i="1"/>
  <c r="AF11" i="1"/>
  <c r="S11" i="1"/>
  <c r="R11" i="1"/>
  <c r="P11" i="1"/>
  <c r="O11" i="1"/>
  <c r="I11" i="1"/>
  <c r="J11" i="1" s="1"/>
  <c r="L11" i="1" s="1"/>
  <c r="G11" i="1"/>
  <c r="F11" i="1"/>
  <c r="BR10" i="1"/>
  <c r="BO10" i="1"/>
  <c r="BB10" i="1"/>
  <c r="AV10" i="1"/>
  <c r="AP10" i="1"/>
  <c r="AH10" i="1" s="1"/>
  <c r="AF10" i="1"/>
  <c r="AD10" i="1"/>
  <c r="Z10" i="1"/>
  <c r="T10" i="1"/>
  <c r="S10" i="1"/>
  <c r="R10" i="1"/>
  <c r="M10" i="1"/>
  <c r="O10" i="1" s="1"/>
  <c r="K10" i="1"/>
  <c r="K14" i="1" s="1"/>
  <c r="K24" i="1" s="1"/>
  <c r="I10" i="1"/>
  <c r="H10" i="1"/>
  <c r="J10" i="1" s="1"/>
  <c r="L10" i="1" s="1"/>
  <c r="G10" i="1"/>
  <c r="D10" i="1"/>
  <c r="F10" i="1" s="1"/>
  <c r="BR9" i="1"/>
  <c r="BO9" i="1"/>
  <c r="BC9" i="1"/>
  <c r="BC14" i="1" s="1"/>
  <c r="BC24" i="1" s="1"/>
  <c r="BB9" i="1"/>
  <c r="AV9" i="1"/>
  <c r="AH9" i="1"/>
  <c r="AD9" i="1"/>
  <c r="AF9" i="1" s="1"/>
  <c r="S9" i="1"/>
  <c r="R9" i="1"/>
  <c r="BL9" i="1" s="1"/>
  <c r="O9" i="1"/>
  <c r="G9" i="1"/>
  <c r="F9" i="1"/>
  <c r="BR8" i="1"/>
  <c r="BO8" i="1"/>
  <c r="BB8" i="1"/>
  <c r="AP8" i="1"/>
  <c r="AP14" i="1" s="1"/>
  <c r="AP24" i="1" s="1"/>
  <c r="AN8" i="1"/>
  <c r="AI8" i="1"/>
  <c r="AI14" i="1" s="1"/>
  <c r="AI24" i="1" s="1"/>
  <c r="AD8" i="1"/>
  <c r="AD14" i="1" s="1"/>
  <c r="Z8" i="1"/>
  <c r="Z14" i="1" s="1"/>
  <c r="Z24" i="1" s="1"/>
  <c r="X8" i="1"/>
  <c r="T8" i="1"/>
  <c r="T14" i="1" s="1"/>
  <c r="T24" i="1" s="1"/>
  <c r="S8" i="1"/>
  <c r="R8" i="1"/>
  <c r="AT9" i="1" s="1"/>
  <c r="P8" i="1"/>
  <c r="O8" i="1"/>
  <c r="M8" i="1"/>
  <c r="H8" i="1"/>
  <c r="G8" i="1"/>
  <c r="F8" i="1"/>
  <c r="D8" i="1"/>
  <c r="BR7" i="1"/>
  <c r="BO7" i="1"/>
  <c r="BB7" i="1"/>
  <c r="AZ7" i="1"/>
  <c r="AV7" i="1"/>
  <c r="AH7" i="1"/>
  <c r="AF7" i="1"/>
  <c r="S7" i="1"/>
  <c r="AT7" i="1" s="1"/>
  <c r="R7" i="1"/>
  <c r="BL7" i="1" s="1"/>
  <c r="P7" i="1"/>
  <c r="O7" i="1"/>
  <c r="H7" i="1"/>
  <c r="H14" i="1" s="1"/>
  <c r="H24" i="1" s="1"/>
  <c r="G7" i="1"/>
  <c r="F7" i="1"/>
  <c r="D7" i="1"/>
  <c r="BR6" i="1"/>
  <c r="BO6" i="1"/>
  <c r="BB6" i="1"/>
  <c r="AZ6" i="1"/>
  <c r="AW6" i="1"/>
  <c r="AY6" i="1" s="1"/>
  <c r="AQ6" i="1"/>
  <c r="AS6" i="1" s="1"/>
  <c r="AK6" i="1"/>
  <c r="AM6" i="1" s="1"/>
  <c r="AH6" i="1"/>
  <c r="AF6" i="1"/>
  <c r="AA6" i="1"/>
  <c r="AC6" i="1" s="1"/>
  <c r="S6" i="1"/>
  <c r="R6" i="1"/>
  <c r="BL6" i="1" s="1"/>
  <c r="P6" i="1"/>
  <c r="O6" i="1"/>
  <c r="O25" i="1" s="1"/>
  <c r="I6" i="1"/>
  <c r="J6" i="1" s="1"/>
  <c r="L6" i="1" s="1"/>
  <c r="G6" i="1"/>
  <c r="G14" i="1" s="1"/>
  <c r="G24" i="1" s="1"/>
  <c r="F6" i="1"/>
  <c r="BU5" i="1"/>
  <c r="BR5" i="1"/>
  <c r="BP5" i="1"/>
  <c r="BS5" i="1" s="1"/>
  <c r="BO5" i="1"/>
  <c r="BD5" i="1"/>
  <c r="BI5" i="1" s="1"/>
  <c r="BB5" i="1"/>
  <c r="BB14" i="1" s="1"/>
  <c r="AY5" i="1"/>
  <c r="AW5" i="1"/>
  <c r="AS5" i="1"/>
  <c r="AQ5" i="1"/>
  <c r="AM5" i="1"/>
  <c r="AK5" i="1"/>
  <c r="AH5" i="1"/>
  <c r="AF5" i="1"/>
  <c r="AC5" i="1"/>
  <c r="AA5" i="1"/>
  <c r="W5" i="1"/>
  <c r="U5" i="1"/>
  <c r="S5" i="1"/>
  <c r="S14" i="1" s="1"/>
  <c r="S24" i="1" s="1"/>
  <c r="R5" i="1"/>
  <c r="R14" i="1" s="1"/>
  <c r="O5" i="1"/>
  <c r="O14" i="1" s="1"/>
  <c r="O24" i="1" s="1"/>
  <c r="J5" i="1"/>
  <c r="L5" i="1" s="1"/>
  <c r="L14" i="1" s="1"/>
  <c r="L24" i="1" s="1"/>
  <c r="N27" i="1" s="1"/>
  <c r="F5" i="1"/>
  <c r="F19" i="2" l="1"/>
  <c r="G15" i="2"/>
  <c r="BH6" i="2"/>
  <c r="BQ6" i="2"/>
  <c r="BQ11" i="2" s="1"/>
  <c r="BQ14" i="2" s="1"/>
  <c r="BQ19" i="2" s="1"/>
  <c r="W6" i="2"/>
  <c r="AM6" i="2"/>
  <c r="BH8" i="2"/>
  <c r="AF8" i="2"/>
  <c r="BQ8" i="2"/>
  <c r="AS8" i="2"/>
  <c r="W9" i="2"/>
  <c r="BQ9" i="2"/>
  <c r="AL5" i="2"/>
  <c r="BG5" i="2"/>
  <c r="AS6" i="2"/>
  <c r="BP9" i="2"/>
  <c r="BQ12" i="2"/>
  <c r="BQ13" i="2" s="1"/>
  <c r="S14" i="2"/>
  <c r="S19" i="2" s="1"/>
  <c r="E15" i="2"/>
  <c r="F20" i="2" s="1"/>
  <c r="O5" i="2"/>
  <c r="AE14" i="2"/>
  <c r="AD21" i="2" s="1"/>
  <c r="AE11" i="2"/>
  <c r="BH5" i="2"/>
  <c r="BG11" i="2"/>
  <c r="BS9" i="2"/>
  <c r="AM10" i="2"/>
  <c r="BH10" i="2"/>
  <c r="BQ10" i="2"/>
  <c r="J13" i="2"/>
  <c r="L12" i="2"/>
  <c r="L13" i="2" s="1"/>
  <c r="AS7" i="2"/>
  <c r="R11" i="2"/>
  <c r="R14" i="2" s="1"/>
  <c r="R19" i="2" s="1"/>
  <c r="AG11" i="2"/>
  <c r="AG14" i="2" s="1"/>
  <c r="AG19" i="2" s="1"/>
  <c r="AR5" i="2"/>
  <c r="AF6" i="2"/>
  <c r="BH7" i="2"/>
  <c r="AM7" i="2"/>
  <c r="W7" i="2"/>
  <c r="BQ7" i="2"/>
  <c r="W8" i="2"/>
  <c r="AM8" i="2"/>
  <c r="BK13" i="2"/>
  <c r="BK14" i="2" s="1"/>
  <c r="BK19" i="2" s="1"/>
  <c r="BG12" i="2"/>
  <c r="BP12" i="2"/>
  <c r="BP13" i="2" s="1"/>
  <c r="BT11" i="1"/>
  <c r="BK5" i="1"/>
  <c r="BR14" i="1"/>
  <c r="BR24" i="1" s="1"/>
  <c r="BU6" i="1"/>
  <c r="BU14" i="1" s="1"/>
  <c r="BU24" i="1" s="1"/>
  <c r="X7" i="1"/>
  <c r="AV14" i="1"/>
  <c r="AV24" i="1" s="1"/>
  <c r="BU7" i="1"/>
  <c r="AF8" i="1"/>
  <c r="AF25" i="1" s="1"/>
  <c r="AT8" i="1"/>
  <c r="AZ8" i="1"/>
  <c r="X10" i="1"/>
  <c r="AN10" i="1"/>
  <c r="BL10" i="1"/>
  <c r="BU23" i="1"/>
  <c r="AS14" i="1"/>
  <c r="AZ9" i="1"/>
  <c r="BU10" i="1"/>
  <c r="AC14" i="1"/>
  <c r="E25" i="1"/>
  <c r="AG7" i="1"/>
  <c r="M14" i="1"/>
  <c r="M24" i="1" s="1"/>
  <c r="AG8" i="1"/>
  <c r="BU8" i="1"/>
  <c r="I9" i="1"/>
  <c r="J9" i="1" s="1"/>
  <c r="L9" i="1" s="1"/>
  <c r="P9" i="1"/>
  <c r="AG9" i="1"/>
  <c r="BU9" i="1"/>
  <c r="P10" i="1"/>
  <c r="AT10" i="1"/>
  <c r="X11" i="1"/>
  <c r="BL11" i="1"/>
  <c r="BU12" i="1"/>
  <c r="AS23" i="1"/>
  <c r="BT16" i="1"/>
  <c r="BT19" i="1"/>
  <c r="I14" i="1"/>
  <c r="I24" i="1" s="1"/>
  <c r="X9" i="1"/>
  <c r="AG10" i="1"/>
  <c r="AF14" i="1"/>
  <c r="BB24" i="1"/>
  <c r="BO14" i="1"/>
  <c r="BO24" i="1" s="1"/>
  <c r="BT5" i="1"/>
  <c r="D14" i="1"/>
  <c r="D24" i="1" s="1"/>
  <c r="I7" i="1"/>
  <c r="J7" i="1" s="1"/>
  <c r="L7" i="1" s="1"/>
  <c r="K25" i="1" s="1"/>
  <c r="AN7" i="1"/>
  <c r="AH8" i="1"/>
  <c r="AH14" i="1" s="1"/>
  <c r="AH24" i="1" s="1"/>
  <c r="BL8" i="1"/>
  <c r="AN9" i="1"/>
  <c r="AZ10" i="1"/>
  <c r="AD18" i="1"/>
  <c r="AM23" i="1"/>
  <c r="BI15" i="1"/>
  <c r="BP16" i="1"/>
  <c r="BP23" i="1" s="1"/>
  <c r="BT17" i="1"/>
  <c r="BP19" i="1"/>
  <c r="BT20" i="1"/>
  <c r="R23" i="1"/>
  <c r="R24" i="1" s="1"/>
  <c r="AT13" i="1"/>
  <c r="AZ13" i="1"/>
  <c r="AC15" i="1"/>
  <c r="AC23" i="1" s="1"/>
  <c r="AM15" i="1"/>
  <c r="BV15" i="1" s="1"/>
  <c r="BV23" i="1" s="1"/>
  <c r="AY15" i="1"/>
  <c r="AY23" i="1" s="1"/>
  <c r="BS15" i="1"/>
  <c r="BS23" i="1" s="1"/>
  <c r="BT21" i="1"/>
  <c r="BT18" i="1"/>
  <c r="AM11" i="2" l="1"/>
  <c r="AM14" i="2" s="1"/>
  <c r="AF11" i="2"/>
  <c r="W11" i="2"/>
  <c r="BH11" i="2"/>
  <c r="BJ15" i="2" s="1"/>
  <c r="BI6" i="2" s="1"/>
  <c r="O11" i="2"/>
  <c r="O14" i="2" s="1"/>
  <c r="P15" i="2"/>
  <c r="AS11" i="2"/>
  <c r="I6" i="2"/>
  <c r="J6" i="2" s="1"/>
  <c r="L6" i="2" s="1"/>
  <c r="I9" i="2"/>
  <c r="J9" i="2" s="1"/>
  <c r="L9" i="2" s="1"/>
  <c r="K16" i="2" s="1"/>
  <c r="I8" i="2"/>
  <c r="J8" i="2" s="1"/>
  <c r="L8" i="2" s="1"/>
  <c r="I5" i="2"/>
  <c r="I7" i="2"/>
  <c r="J7" i="2" s="1"/>
  <c r="L7" i="2" s="1"/>
  <c r="AL16" i="2"/>
  <c r="AN16" i="2" s="1"/>
  <c r="AN6" i="2" s="1"/>
  <c r="AL11" i="2"/>
  <c r="AL14" i="2" s="1"/>
  <c r="AL19" i="2" s="1"/>
  <c r="BH15" i="2"/>
  <c r="BH20" i="2" s="1"/>
  <c r="AN14" i="1"/>
  <c r="AN24" i="1" s="1"/>
  <c r="AG14" i="1"/>
  <c r="AC24" i="1"/>
  <c r="AC27" i="1" s="1"/>
  <c r="AF27" i="1" s="1"/>
  <c r="AH25" i="1" s="1"/>
  <c r="AJ10" i="1" s="1"/>
  <c r="AK10" i="1" s="1"/>
  <c r="AM10" i="1" s="1"/>
  <c r="AM14" i="1" s="1"/>
  <c r="AM24" i="1" s="1"/>
  <c r="AM27" i="1" s="1"/>
  <c r="AO25" i="1" s="1"/>
  <c r="AS24" i="1"/>
  <c r="AS27" i="1" s="1"/>
  <c r="J14" i="1"/>
  <c r="J24" i="1" s="1"/>
  <c r="BV5" i="1"/>
  <c r="AF18" i="1"/>
  <c r="AF23" i="1" s="1"/>
  <c r="AD23" i="1"/>
  <c r="AD24" i="1" s="1"/>
  <c r="BI23" i="1"/>
  <c r="BK15" i="1"/>
  <c r="BK23" i="1" s="1"/>
  <c r="AZ14" i="1"/>
  <c r="AZ24" i="1" s="1"/>
  <c r="AF24" i="1"/>
  <c r="X14" i="1"/>
  <c r="X24" i="1" s="1"/>
  <c r="AT14" i="1"/>
  <c r="AT24" i="1" s="1"/>
  <c r="BL14" i="1"/>
  <c r="BL24" i="1" s="1"/>
  <c r="P14" i="1"/>
  <c r="P24" i="1" s="1"/>
  <c r="BT15" i="1"/>
  <c r="BT23" i="1" s="1"/>
  <c r="BS6" i="2" l="1"/>
  <c r="BL6" i="2"/>
  <c r="BO6" i="2" s="1"/>
  <c r="BP6" i="2" s="1"/>
  <c r="AP6" i="2"/>
  <c r="AN7" i="2"/>
  <c r="AP7" i="2" s="1"/>
  <c r="AR7" i="2" s="1"/>
  <c r="BI5" i="2"/>
  <c r="BI7" i="2"/>
  <c r="BI10" i="2"/>
  <c r="W16" i="2"/>
  <c r="X15" i="2" s="1"/>
  <c r="L19" i="2"/>
  <c r="K21" i="2" s="1"/>
  <c r="AN10" i="2"/>
  <c r="AP10" i="2" s="1"/>
  <c r="AR10" i="2" s="1"/>
  <c r="AN8" i="2"/>
  <c r="AP8" i="2" s="1"/>
  <c r="AR8" i="2" s="1"/>
  <c r="BI8" i="2"/>
  <c r="I11" i="2"/>
  <c r="I14" i="2" s="1"/>
  <c r="I19" i="2" s="1"/>
  <c r="J5" i="2"/>
  <c r="AO13" i="1"/>
  <c r="AQ13" i="1" s="1"/>
  <c r="AS13" i="1" s="1"/>
  <c r="AO9" i="1"/>
  <c r="AQ9" i="1" s="1"/>
  <c r="AS9" i="1" s="1"/>
  <c r="AO10" i="1"/>
  <c r="AQ10" i="1" s="1"/>
  <c r="AS10" i="1" s="1"/>
  <c r="AO12" i="1"/>
  <c r="AQ12" i="1" s="1"/>
  <c r="AS12" i="1" s="1"/>
  <c r="AO8" i="1"/>
  <c r="AQ8" i="1" s="1"/>
  <c r="AS8" i="1" s="1"/>
  <c r="AO7" i="1"/>
  <c r="AJ7" i="1"/>
  <c r="AJ8" i="1"/>
  <c r="AK8" i="1" s="1"/>
  <c r="AM8" i="1" s="1"/>
  <c r="AJ9" i="1"/>
  <c r="AK9" i="1" s="1"/>
  <c r="AM9" i="1" s="1"/>
  <c r="P26" i="1"/>
  <c r="P27" i="1"/>
  <c r="AW25" i="1"/>
  <c r="AN11" i="2" l="1"/>
  <c r="AN14" i="2" s="1"/>
  <c r="AN19" i="2" s="1"/>
  <c r="J11" i="2"/>
  <c r="J14" i="2" s="1"/>
  <c r="J19" i="2" s="1"/>
  <c r="L5" i="2"/>
  <c r="BS10" i="2"/>
  <c r="BL10" i="2"/>
  <c r="BO10" i="2" s="1"/>
  <c r="BP10" i="2" s="1"/>
  <c r="AR16" i="2"/>
  <c r="AT16" i="2" s="1"/>
  <c r="AR11" i="2"/>
  <c r="AR14" i="2" s="1"/>
  <c r="BS7" i="2"/>
  <c r="BL7" i="2"/>
  <c r="BO7" i="2" s="1"/>
  <c r="BP7" i="2" s="1"/>
  <c r="AR6" i="2"/>
  <c r="AS15" i="2" s="1"/>
  <c r="AS20" i="2" s="1"/>
  <c r="AP11" i="2"/>
  <c r="AP14" i="2" s="1"/>
  <c r="AP19" i="2" s="1"/>
  <c r="BS5" i="2"/>
  <c r="BL5" i="2"/>
  <c r="BI11" i="2"/>
  <c r="BS8" i="2"/>
  <c r="BL8" i="2"/>
  <c r="BO8" i="2" s="1"/>
  <c r="BP8" i="2" s="1"/>
  <c r="X9" i="2"/>
  <c r="Z9" i="2" s="1"/>
  <c r="AB9" i="2" s="1"/>
  <c r="AB11" i="2" s="1"/>
  <c r="AB14" i="2" s="1"/>
  <c r="X6" i="2"/>
  <c r="X8" i="2"/>
  <c r="Z8" i="2" s="1"/>
  <c r="AB8" i="2" s="1"/>
  <c r="X7" i="2"/>
  <c r="Z7" i="2" s="1"/>
  <c r="AB7" i="2" s="1"/>
  <c r="AO14" i="1"/>
  <c r="AO24" i="1" s="1"/>
  <c r="AQ7" i="1"/>
  <c r="AU9" i="1"/>
  <c r="AW9" i="1" s="1"/>
  <c r="AY9" i="1" s="1"/>
  <c r="AU12" i="1"/>
  <c r="AW12" i="1" s="1"/>
  <c r="AY12" i="1" s="1"/>
  <c r="AU7" i="1"/>
  <c r="AU8" i="1"/>
  <c r="AW8" i="1" s="1"/>
  <c r="AY8" i="1" s="1"/>
  <c r="AU13" i="1"/>
  <c r="AW13" i="1" s="1"/>
  <c r="AY13" i="1" s="1"/>
  <c r="AU10" i="1"/>
  <c r="AW10" i="1" s="1"/>
  <c r="AY10" i="1" s="1"/>
  <c r="AY14" i="1" s="1"/>
  <c r="AY24" i="1" s="1"/>
  <c r="Q7" i="1"/>
  <c r="U7" i="1" s="1"/>
  <c r="W7" i="1" s="1"/>
  <c r="X25" i="1" s="1"/>
  <c r="Q11" i="1"/>
  <c r="U11" i="1" s="1"/>
  <c r="W11" i="1" s="1"/>
  <c r="Q8" i="1"/>
  <c r="U8" i="1" s="1"/>
  <c r="W8" i="1" s="1"/>
  <c r="Q6" i="1"/>
  <c r="Q9" i="1"/>
  <c r="U9" i="1" s="1"/>
  <c r="W9" i="1" s="1"/>
  <c r="Q10" i="1"/>
  <c r="U10" i="1" s="1"/>
  <c r="W10" i="1" s="1"/>
  <c r="AJ14" i="1"/>
  <c r="AK7" i="1"/>
  <c r="L15" i="2" l="1"/>
  <c r="L11" i="2"/>
  <c r="L14" i="2" s="1"/>
  <c r="BS11" i="2"/>
  <c r="BS14" i="2"/>
  <c r="Z6" i="2"/>
  <c r="X11" i="2"/>
  <c r="AT8" i="2"/>
  <c r="AV8" i="2" s="1"/>
  <c r="AX8" i="2" s="1"/>
  <c r="AT7" i="2"/>
  <c r="AV7" i="2" s="1"/>
  <c r="AX7" i="2" s="1"/>
  <c r="AT6" i="2"/>
  <c r="AI17" i="2"/>
  <c r="AB21" i="2" s="1"/>
  <c r="AB19" i="2"/>
  <c r="AD17" i="2"/>
  <c r="AF17" i="2" s="1"/>
  <c r="BL11" i="2"/>
  <c r="BL14" i="2" s="1"/>
  <c r="BL19" i="2" s="1"/>
  <c r="BO5" i="2"/>
  <c r="Q14" i="1"/>
  <c r="Q24" i="1" s="1"/>
  <c r="U6" i="1"/>
  <c r="AW27" i="1"/>
  <c r="BA25" i="1"/>
  <c r="AM7" i="1"/>
  <c r="AM25" i="1" s="1"/>
  <c r="AK14" i="1"/>
  <c r="AK24" i="1" s="1"/>
  <c r="AS7" i="1"/>
  <c r="AS25" i="1" s="1"/>
  <c r="AQ14" i="1"/>
  <c r="AQ24" i="1" s="1"/>
  <c r="AU14" i="1"/>
  <c r="AU24" i="1" s="1"/>
  <c r="AW7" i="1"/>
  <c r="AI7" i="2" l="1"/>
  <c r="AJ7" i="2" s="1"/>
  <c r="AL7" i="2" s="1"/>
  <c r="AI8" i="2"/>
  <c r="AJ8" i="2" s="1"/>
  <c r="AL8" i="2" s="1"/>
  <c r="AI6" i="2"/>
  <c r="BS19" i="2"/>
  <c r="BS23" i="2" s="1"/>
  <c r="BS24" i="2" s="1"/>
  <c r="BO11" i="2"/>
  <c r="BO14" i="2" s="1"/>
  <c r="BO19" i="2" s="1"/>
  <c r="BK29" i="2" s="1"/>
  <c r="BP5" i="2"/>
  <c r="BP11" i="2" s="1"/>
  <c r="BP14" i="2" s="1"/>
  <c r="BP19" i="2" s="1"/>
  <c r="BQ21" i="2" s="1"/>
  <c r="AT11" i="2"/>
  <c r="AT14" i="2" s="1"/>
  <c r="AV6" i="2"/>
  <c r="AB6" i="2"/>
  <c r="AB16" i="2" s="1"/>
  <c r="Z11" i="2"/>
  <c r="Z14" i="2" s="1"/>
  <c r="Z19" i="2" s="1"/>
  <c r="L16" i="2"/>
  <c r="L20" i="2"/>
  <c r="E21" i="2" s="1"/>
  <c r="K22" i="2"/>
  <c r="R23" i="2" s="1"/>
  <c r="BA12" i="1"/>
  <c r="BD12" i="1" s="1"/>
  <c r="BI12" i="1" s="1"/>
  <c r="BK12" i="1" s="1"/>
  <c r="BA7" i="1"/>
  <c r="BD7" i="1" s="1"/>
  <c r="BI7" i="1" s="1"/>
  <c r="BK7" i="1" s="1"/>
  <c r="BA6" i="1"/>
  <c r="BA10" i="1"/>
  <c r="BD10" i="1" s="1"/>
  <c r="BI10" i="1" s="1"/>
  <c r="BK10" i="1" s="1"/>
  <c r="BK14" i="1" s="1"/>
  <c r="BK24" i="1" s="1"/>
  <c r="BO25" i="1" s="1"/>
  <c r="BA8" i="1"/>
  <c r="BD8" i="1" s="1"/>
  <c r="BI8" i="1" s="1"/>
  <c r="BK8" i="1" s="1"/>
  <c r="BA9" i="1"/>
  <c r="BD9" i="1" s="1"/>
  <c r="BI9" i="1" s="1"/>
  <c r="BK9" i="1" s="1"/>
  <c r="BA13" i="1"/>
  <c r="BD13" i="1" s="1"/>
  <c r="BI13" i="1" s="1"/>
  <c r="BK13" i="1" s="1"/>
  <c r="AY7" i="1"/>
  <c r="AY25" i="1" s="1"/>
  <c r="AW14" i="1"/>
  <c r="AW24" i="1" s="1"/>
  <c r="W6" i="1"/>
  <c r="W14" i="1" s="1"/>
  <c r="W24" i="1" s="1"/>
  <c r="X27" i="1" s="1"/>
  <c r="U14" i="1"/>
  <c r="U24" i="1" s="1"/>
  <c r="BQ22" i="2" l="1"/>
  <c r="BQ27" i="2"/>
  <c r="AI11" i="2"/>
  <c r="AI14" i="2" s="1"/>
  <c r="AJ6" i="2"/>
  <c r="AX6" i="2"/>
  <c r="AY15" i="2" s="1"/>
  <c r="AX20" i="2" s="1"/>
  <c r="AV11" i="2"/>
  <c r="AV14" i="2" s="1"/>
  <c r="AV19" i="2" s="1"/>
  <c r="BM12" i="1"/>
  <c r="BM7" i="1"/>
  <c r="BM9" i="1"/>
  <c r="BM13" i="1"/>
  <c r="BM6" i="1"/>
  <c r="BM10" i="1"/>
  <c r="BM8" i="1"/>
  <c r="BA14" i="1"/>
  <c r="BA24" i="1" s="1"/>
  <c r="BD6" i="1"/>
  <c r="Y8" i="1"/>
  <c r="AA8" i="1" s="1"/>
  <c r="AC8" i="1" s="1"/>
  <c r="Y11" i="1"/>
  <c r="AA11" i="1" s="1"/>
  <c r="AC11" i="1" s="1"/>
  <c r="Y7" i="1"/>
  <c r="Y9" i="1"/>
  <c r="AA9" i="1" s="1"/>
  <c r="AC9" i="1" s="1"/>
  <c r="Y10" i="1"/>
  <c r="AA10" i="1" s="1"/>
  <c r="AC10" i="1" s="1"/>
  <c r="AL6" i="2" l="1"/>
  <c r="AL15" i="2" s="1"/>
  <c r="AL20" i="2" s="1"/>
  <c r="AJ11" i="2"/>
  <c r="AJ14" i="2" s="1"/>
  <c r="AJ19" i="2" s="1"/>
  <c r="BP10" i="1"/>
  <c r="BS10" i="1" s="1"/>
  <c r="BT10" i="1" s="1"/>
  <c r="BV10" i="1"/>
  <c r="BV7" i="1"/>
  <c r="BP7" i="1"/>
  <c r="BS7" i="1" s="1"/>
  <c r="BT7" i="1" s="1"/>
  <c r="BI6" i="1"/>
  <c r="BD14" i="1"/>
  <c r="BD24" i="1" s="1"/>
  <c r="BP13" i="1"/>
  <c r="BS13" i="1" s="1"/>
  <c r="BT13" i="1" s="1"/>
  <c r="BV13" i="1"/>
  <c r="BM14" i="1"/>
  <c r="BV6" i="1"/>
  <c r="BP6" i="1"/>
  <c r="BV12" i="1"/>
  <c r="BP12" i="1"/>
  <c r="BS12" i="1" s="1"/>
  <c r="BT12" i="1" s="1"/>
  <c r="Y14" i="1"/>
  <c r="Y24" i="1" s="1"/>
  <c r="AA7" i="1"/>
  <c r="BV8" i="1"/>
  <c r="BP8" i="1"/>
  <c r="BS8" i="1" s="1"/>
  <c r="BT8" i="1" s="1"/>
  <c r="BV9" i="1"/>
  <c r="BP9" i="1"/>
  <c r="BS9" i="1" s="1"/>
  <c r="BT9" i="1" s="1"/>
  <c r="BV14" i="1" l="1"/>
  <c r="BV24" i="1" s="1"/>
  <c r="BK6" i="1"/>
  <c r="BL25" i="1" s="1"/>
  <c r="BI14" i="1"/>
  <c r="BI24" i="1" s="1"/>
  <c r="AC7" i="1"/>
  <c r="AC25" i="1" s="1"/>
  <c r="AA14" i="1"/>
  <c r="AA24" i="1" s="1"/>
  <c r="BP14" i="1"/>
  <c r="BP24" i="1" s="1"/>
  <c r="BS6" i="1"/>
  <c r="BT6" i="1" l="1"/>
  <c r="BT14" i="1" s="1"/>
  <c r="BT24" i="1" s="1"/>
  <c r="BS14" i="1"/>
  <c r="BS24" i="1" s="1"/>
</calcChain>
</file>

<file path=xl/sharedStrings.xml><?xml version="1.0" encoding="utf-8"?>
<sst xmlns="http://schemas.openxmlformats.org/spreadsheetml/2006/main" count="316" uniqueCount="159">
  <si>
    <t>CASA DE ASIGURARI DE SANATATE  BRAILA</t>
  </si>
  <si>
    <t>ANEXA 2</t>
  </si>
  <si>
    <r>
      <t xml:space="preserve">SITUATIE SUME CONTRACTATE INVESTIGATII PARACLINICE - </t>
    </r>
    <r>
      <rPr>
        <b/>
        <u/>
        <sz val="12"/>
        <rFont val="TimesRomanR"/>
      </rPr>
      <t>radiologie -imagistica</t>
    </r>
    <r>
      <rPr>
        <b/>
        <sz val="12"/>
        <rFont val="TimesRomanR"/>
      </rPr>
      <t xml:space="preserve"> - AN 2023</t>
    </r>
  </si>
  <si>
    <t xml:space="preserve">Nr furn </t>
  </si>
  <si>
    <t xml:space="preserve">Furnizor </t>
  </si>
  <si>
    <t xml:space="preserve">AN 2022 REALIZAT final </t>
  </si>
  <si>
    <t>IAN2023</t>
  </si>
  <si>
    <t>IAN realizat</t>
  </si>
  <si>
    <t>Suma nerealizata IAN2023 (cu - in SIUI)</t>
  </si>
  <si>
    <t>Medie realizari 13 luni (pt cei ce au realizat ctr)</t>
  </si>
  <si>
    <t>FEB2022</t>
  </si>
  <si>
    <t>REG dupa IAN2023</t>
  </si>
  <si>
    <t>FEB reg dupa IAN2023</t>
  </si>
  <si>
    <t>FEB realizat</t>
  </si>
  <si>
    <t>Suma nerealizata FEB2021 (cu - in SIUI)</t>
  </si>
  <si>
    <t>MAR2023</t>
  </si>
  <si>
    <t>MAR realizat</t>
  </si>
  <si>
    <t>Suma nerealizata MAR2023(cu - in SIUI)</t>
  </si>
  <si>
    <t>Medie realizari 3 luni (pt cei ce au realizat ctr)</t>
  </si>
  <si>
    <t>REG dupa MARTIE 2023</t>
  </si>
  <si>
    <t xml:space="preserve">TRIM I 2023 realizat </t>
  </si>
  <si>
    <t>TRIM II 2023 realizat</t>
  </si>
  <si>
    <t>APR2023</t>
  </si>
  <si>
    <t>APR reg dupa MAR2023</t>
  </si>
  <si>
    <t>APR realizat</t>
  </si>
  <si>
    <t>Suma nerealizata APR2023(cu - in SIUI)</t>
  </si>
  <si>
    <t>Medie realizari 4 luni (pt cei ce au realizat ctr)</t>
  </si>
  <si>
    <t>REG dupa APR2023</t>
  </si>
  <si>
    <t>MAI2023</t>
  </si>
  <si>
    <t>MAI reg dupa APR</t>
  </si>
  <si>
    <t>MAI realizat</t>
  </si>
  <si>
    <t>Suma nerealizata MAI2023(cu - in SIUI)</t>
  </si>
  <si>
    <t>IUN2023</t>
  </si>
  <si>
    <t>IUNIE realizat</t>
  </si>
  <si>
    <t>Suma nerealizata IUNIE2023(cu - in SIUI)</t>
  </si>
  <si>
    <t>Medie realizari 6 luni (pt cei ce au realizat ctr)</t>
  </si>
  <si>
    <t>Suma calculata SEM II 20223</t>
  </si>
  <si>
    <t>IUL</t>
  </si>
  <si>
    <t>REG dupa IUN</t>
  </si>
  <si>
    <t>IUL regularizat</t>
  </si>
  <si>
    <t>IULIE realizat</t>
  </si>
  <si>
    <t>Suma nerealizata IULIE2023(cu - in SIUI)</t>
  </si>
  <si>
    <t>Medie realizari 7 luni (pt cei ce au realizat ctr)</t>
  </si>
  <si>
    <t>REG dupa iulie</t>
  </si>
  <si>
    <t>AUG</t>
  </si>
  <si>
    <t>AUG regularizat</t>
  </si>
  <si>
    <t>AUGUST realizat</t>
  </si>
  <si>
    <t>Suma nerealizata AUGUST2023(cu - in SIUI)</t>
  </si>
  <si>
    <t>Medie realizari 8 luni (pt cei ce au realizat ctr)</t>
  </si>
  <si>
    <t>REG dupa august</t>
  </si>
  <si>
    <t>SEPT</t>
  </si>
  <si>
    <t>SEPT regularizat</t>
  </si>
  <si>
    <t>SEPTEMBRIE realizat</t>
  </si>
  <si>
    <t>Suma nerealizata SEPT2023(cu - in SIUI)</t>
  </si>
  <si>
    <t>Medie realizari 9 luni (pt cei ce au realizat ctr)</t>
  </si>
  <si>
    <t>REG dupa SEPT</t>
  </si>
  <si>
    <t>TRIM III 2023 realizat</t>
  </si>
  <si>
    <t>OCT</t>
  </si>
  <si>
    <t>OCT regularizat</t>
  </si>
  <si>
    <t>Suplimentare 23oct.2023 cf AB8737/ 23.10.2023 din care:</t>
  </si>
  <si>
    <t>pt OCT</t>
  </si>
  <si>
    <t>pt NOV</t>
  </si>
  <si>
    <t>pt DEC</t>
  </si>
  <si>
    <t>OCT suplimentat</t>
  </si>
  <si>
    <t>OCT realizat</t>
  </si>
  <si>
    <t>Suma nerealizata OCT 2023(cu - in SIUI)</t>
  </si>
  <si>
    <t>Medie realizari 10 luni (pt cei ce au realizat ctr)</t>
  </si>
  <si>
    <t>REG dupa OCT</t>
  </si>
  <si>
    <t>NOV</t>
  </si>
  <si>
    <t>NOV suplimentat</t>
  </si>
  <si>
    <t>NOV regularizat dupa OCT</t>
  </si>
  <si>
    <t>DEC</t>
  </si>
  <si>
    <t>DEC suplimentat</t>
  </si>
  <si>
    <t>TRIM IV dupa suplimentare 23oct.2023</t>
  </si>
  <si>
    <t>AN 2023 contractat cu Monitorizari</t>
  </si>
  <si>
    <t>AN 2023 REALIZAT 10 LUNI</t>
  </si>
  <si>
    <t>Suma pt AA de regul. dupa octombrie</t>
  </si>
  <si>
    <t>Sp. Judetean - radiologie-imagistica amb.</t>
  </si>
  <si>
    <t>SP de Pneumoftiziologie - rad.ambulator</t>
  </si>
  <si>
    <t>VENETIA MEDICAL</t>
  </si>
  <si>
    <r>
      <t xml:space="preserve">MEDIMA HEALTH SA </t>
    </r>
    <r>
      <rPr>
        <b/>
        <i/>
        <sz val="8"/>
        <rFont val="TimesRomanR"/>
      </rPr>
      <t>(in ctr din oct2022 !)</t>
    </r>
  </si>
  <si>
    <r>
      <t xml:space="preserve">CENTRUL MEDICAL MATEUS </t>
    </r>
    <r>
      <rPr>
        <b/>
        <i/>
        <sz val="8"/>
        <rFont val="TimesRomanR"/>
      </rPr>
      <t>(din oct2022)</t>
    </r>
  </si>
  <si>
    <t>SC R.I.M. DR BANCEANU ELENA</t>
  </si>
  <si>
    <t>SC R.I.M. DR. COSMESCU PETRE</t>
  </si>
  <si>
    <t>KALIOPHION SRL</t>
  </si>
  <si>
    <t>MNT HEALTCARE EUROPE SRL</t>
  </si>
  <si>
    <t>TOTAL RADIOLOGIE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</si>
  <si>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</si>
  <si>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</si>
  <si>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</si>
  <si>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</si>
  <si>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</si>
  <si>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</si>
  <si>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Spital FAUREI - EKO cabinete spec.</t>
  </si>
  <si>
    <t>SP JUDETEAN - EKO cabinete spec.</t>
  </si>
  <si>
    <t>TOTAL ECOGRAFII + RAD.dentara</t>
  </si>
  <si>
    <t>TOTAL RADIOLOGIE-IMAGISTICA</t>
  </si>
  <si>
    <t>suplim Monitor=</t>
  </si>
  <si>
    <t>% pt Reg=</t>
  </si>
  <si>
    <t xml:space="preserve">Monitorizari = </t>
  </si>
  <si>
    <t xml:space="preserve">% pt  REG = </t>
  </si>
  <si>
    <t>Pentru regularizare =</t>
  </si>
  <si>
    <t xml:space="preserve">REZERVA = </t>
  </si>
  <si>
    <t xml:space="preserve">% pt REG = </t>
  </si>
  <si>
    <t xml:space="preserve">Rezerva = </t>
  </si>
  <si>
    <t>De regularizat =</t>
  </si>
  <si>
    <t>ANEXA 1</t>
  </si>
  <si>
    <r>
      <t xml:space="preserve">SITUATIE SUME CONTRACTATE INVESTIGATII PARACLINICE - </t>
    </r>
    <r>
      <rPr>
        <b/>
        <u/>
        <sz val="12"/>
        <rFont val="TimesRomanR"/>
      </rPr>
      <t>analize de laborator</t>
    </r>
    <r>
      <rPr>
        <b/>
        <sz val="12"/>
        <rFont val="TimesRomanR"/>
      </rPr>
      <t xml:space="preserve"> - AN 2023</t>
    </r>
  </si>
  <si>
    <t>REG dupa MARTIE2023</t>
  </si>
  <si>
    <t>TRIM I 2023 realizat</t>
  </si>
  <si>
    <t>Medie realizari 8luni (pt cei ce au realizat ctr)</t>
  </si>
  <si>
    <t>SEPT realizat</t>
  </si>
  <si>
    <t>Suplimentare 23oct.2023 cf AB8737/23.10 din care:</t>
  </si>
  <si>
    <t>Suma nerealizata OCT2023(cu - in SIUI)</t>
  </si>
  <si>
    <t>Medie realizari 10luni (pt cei ce au realizat ctr)</t>
  </si>
  <si>
    <t>REG dupa octombrie</t>
  </si>
  <si>
    <t>AN 2023 REALIZAT 10 luni</t>
  </si>
  <si>
    <t>Suma pt AA de regul. dupa MAI</t>
  </si>
  <si>
    <t>Suma pt AA de regul. dupa oct</t>
  </si>
  <si>
    <t>SC DIAMED CENTER S.R.L.</t>
  </si>
  <si>
    <t>MEDICOTEST</t>
  </si>
  <si>
    <t xml:space="preserve">CMI Varzaru Victoria  </t>
  </si>
  <si>
    <t>SC INVESTIGATII PRAXIS</t>
  </si>
  <si>
    <t>SC NEWVITALCLINIC SRL</t>
  </si>
  <si>
    <t>Sp de Pneumoftiziologie - laborator ambulatoriu</t>
  </si>
  <si>
    <t>TOTAL I - analize laborator</t>
  </si>
  <si>
    <t xml:space="preserve"> </t>
  </si>
  <si>
    <t>Cytopath S.R.L. Braila (Histopatologie)</t>
  </si>
  <si>
    <t>TOTAL II - anatomo-patologie</t>
  </si>
  <si>
    <t>TOTAL I+II - LABORATOARE</t>
  </si>
  <si>
    <t>Monitorizari</t>
  </si>
  <si>
    <t xml:space="preserve">% pt REG Ian = </t>
  </si>
  <si>
    <t>% pt REG=</t>
  </si>
  <si>
    <t>%ptr REG</t>
  </si>
  <si>
    <t xml:space="preserve">Rez dupa FEB = </t>
  </si>
  <si>
    <t>REZERVA iulie</t>
  </si>
  <si>
    <t>REZERVA august</t>
  </si>
  <si>
    <t>%pt REG=</t>
  </si>
  <si>
    <t>% pt REG =</t>
  </si>
  <si>
    <t xml:space="preserve">rezerva = </t>
  </si>
  <si>
    <t>TOTAL SUME PARACLINICE (laboratoare + radiologie)</t>
  </si>
  <si>
    <t>Suma nerealizata FEB2023 (cu - in SIUI)</t>
  </si>
  <si>
    <t>Suma pt AA de regul. dupa august</t>
  </si>
  <si>
    <t>TOTAL CONTRACTAT (laboratoare+radiologie imagistica)</t>
  </si>
  <si>
    <t>TOTAL Monitorizari IAN2023   =</t>
  </si>
  <si>
    <t>din care Covid=8110,98 /Onco=89579,15/ Diab=5007,76lei</t>
  </si>
  <si>
    <t>TOTAL Monitorizari FEB2023   =</t>
  </si>
  <si>
    <t>TOTAL Monitorizari APR2023   =</t>
  </si>
  <si>
    <t>TOTAL Monitorizari MAI2023   =</t>
  </si>
  <si>
    <t xml:space="preserve">Monitorizari IULIE 2023= </t>
  </si>
  <si>
    <t xml:space="preserve">MonitorizariAUGUST 2023= </t>
  </si>
  <si>
    <t xml:space="preserve">MonitorizariSEPT 2023= </t>
  </si>
  <si>
    <t xml:space="preserve">CONTRACTAT pt TRIM I 2023= </t>
  </si>
  <si>
    <t>TOTAL 2023 pt Monit</t>
  </si>
  <si>
    <t>rez nefolosita</t>
  </si>
  <si>
    <t>Diferenta CONTRACTAT-CA</t>
  </si>
  <si>
    <t>Verificare =</t>
  </si>
  <si>
    <t xml:space="preserve">CA / SEM I 2023 = </t>
  </si>
  <si>
    <t xml:space="preserve">CA / AN 2023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</si>
</sst>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0"/>
  </numFmts>
  <fonts count="28" x14ac:knownFonts="1">
    <font>
      <sz val="11"/>
      <color theme="1"/>
      <name val="Calibri"/>
      <family val="2"/>
      <scheme val="minor"/>
    </font>
    <font>
      <b/>
      <sz val="12"/>
      <name val="TimesRomanR"/>
    </font>
    <font>
      <sz val="12"/>
      <name val="TimesRomanR"/>
    </font>
    <font>
      <i/>
      <sz val="10"/>
      <name val="TimesRomanR"/>
    </font>
    <font>
      <b/>
      <sz val="10"/>
      <name val="TimesRomanR"/>
    </font>
    <font>
      <sz val="10"/>
      <name val="TimesRomanR"/>
    </font>
    <font>
      <b/>
      <u/>
      <sz val="12"/>
      <name val="TimesRomanR"/>
    </font>
    <font>
      <sz val="8"/>
      <name val="TimesRomanR"/>
    </font>
    <font>
      <b/>
      <sz val="9"/>
      <name val="TimesRomanR"/>
    </font>
    <font>
      <b/>
      <i/>
      <sz val="8"/>
      <name val="TimesRomanR"/>
    </font>
    <font>
      <b/>
      <sz val="8"/>
      <name val="TimesRomanR"/>
    </font>
    <font>
      <b/>
      <sz val="11"/>
      <name val="TimesRomanR"/>
    </font>
    <font>
      <b/>
      <i/>
      <sz val="11"/>
      <name val="TimesRomanR"/>
    </font>
    <font>
      <b/>
      <i/>
      <sz val="10"/>
      <name val="TimesRomanR"/>
    </font>
    <font>
      <b/>
      <i/>
      <sz val="9"/>
      <name val="TimesRomanR"/>
    </font>
    <font>
      <sz val="9"/>
      <name val="TimesRomanR"/>
    </font>
    <font>
      <b/>
      <sz val="10"/>
      <color indexed="9"/>
      <name val="TimesRomanR"/>
    </font>
    <font>
      <sz val="10"/>
      <color indexed="9"/>
      <name val="TimesRomanR"/>
    </font>
    <font>
      <b/>
      <sz val="8"/>
      <color indexed="9"/>
      <name val="TimesRomanR"/>
    </font>
    <font>
      <b/>
      <sz val="9"/>
      <color indexed="9"/>
      <name val="TimesRomanR"/>
    </font>
    <font>
      <b/>
      <sz val="10"/>
      <color indexed="8"/>
      <name val="TimesRomanR"/>
    </font>
    <font>
      <sz val="11"/>
      <name val="TimesRomanR"/>
    </font>
    <font>
      <i/>
      <sz val="9"/>
      <name val="TimesRomanR"/>
    </font>
    <font>
      <i/>
      <sz val="11"/>
      <name val="TimesRomanR"/>
    </font>
    <font>
      <b/>
      <i/>
      <sz val="10"/>
      <color indexed="9"/>
      <name val="TimesRomanR"/>
    </font>
    <font>
      <b/>
      <i/>
      <sz val="8"/>
      <color rgb="FFFF0000"/>
      <name val="TimesRomanR"/>
    </font>
    <font>
      <b/>
      <sz val="14"/>
      <name val="TimesRomanR"/>
    </font>
    <font>
      <b/>
      <sz val="18"/>
      <name val="TimesRoman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9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4" fontId="4" fillId="0" borderId="0" xfId="0" applyNumberFormat="1" applyFont="1" applyAlignment="1">
      <alignment horizontal="right"/>
    </xf>
    <xf numFmtId="4" fontId="5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Alignment="1">
      <alignment horizontal="right"/>
    </xf>
    <xf numFmtId="0" fontId="5" fillId="0" borderId="0" xfId="0" applyFont="1"/>
    <xf numFmtId="1" fontId="7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8" fillId="0" borderId="4" xfId="0" quotePrefix="1" applyNumberFormat="1" applyFont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4" fontId="8" fillId="0" borderId="3" xfId="0" quotePrefix="1" applyNumberFormat="1" applyFont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1" fontId="11" fillId="6" borderId="3" xfId="0" applyNumberFormat="1" applyFont="1" applyFill="1" applyBorder="1" applyAlignment="1">
      <alignment horizontal="center" vertical="center" wrapText="1"/>
    </xf>
    <xf numFmtId="1" fontId="11" fillId="0" borderId="5" xfId="0" quotePrefix="1" applyNumberFormat="1" applyFont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4" fontId="8" fillId="7" borderId="4" xfId="0" applyNumberFormat="1" applyFont="1" applyFill="1" applyBorder="1" applyAlignment="1">
      <alignment horizontal="center" vertical="center" wrapText="1"/>
    </xf>
    <xf numFmtId="1" fontId="11" fillId="0" borderId="6" xfId="0" quotePrefix="1" applyNumberFormat="1" applyFont="1" applyBorder="1" applyAlignment="1">
      <alignment horizontal="center" vertical="center" wrapText="1"/>
    </xf>
    <xf numFmtId="1" fontId="11" fillId="8" borderId="4" xfId="0" quotePrefix="1" applyNumberFormat="1" applyFont="1" applyFill="1" applyBorder="1" applyAlignment="1">
      <alignment horizontal="center" vertical="center" wrapText="1"/>
    </xf>
    <xf numFmtId="4" fontId="8" fillId="7" borderId="3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" fontId="11" fillId="0" borderId="3" xfId="0" quotePrefix="1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9" borderId="3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" fontId="10" fillId="8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10" fillId="10" borderId="3" xfId="0" applyNumberFormat="1" applyFont="1" applyFill="1" applyBorder="1" applyAlignment="1">
      <alignment horizontal="center" vertical="center" wrapText="1"/>
    </xf>
    <xf numFmtId="4" fontId="10" fillId="11" borderId="3" xfId="0" applyNumberFormat="1" applyFont="1" applyFill="1" applyBorder="1" applyAlignment="1">
      <alignment horizontal="center" vertical="center" wrapText="1"/>
    </xf>
    <xf numFmtId="4" fontId="10" fillId="12" borderId="3" xfId="0" applyNumberFormat="1" applyFont="1" applyFill="1" applyBorder="1" applyAlignment="1">
      <alignment horizontal="center" vertical="center" wrapText="1"/>
    </xf>
    <xf numFmtId="1" fontId="8" fillId="13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4" fillId="2" borderId="9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" fontId="4" fillId="3" borderId="10" xfId="0" applyNumberFormat="1" applyFont="1" applyFill="1" applyBorder="1" applyAlignment="1">
      <alignment horizontal="right" wrapText="1"/>
    </xf>
    <xf numFmtId="4" fontId="4" fillId="4" borderId="9" xfId="0" applyNumberFormat="1" applyFont="1" applyFill="1" applyBorder="1" applyAlignment="1">
      <alignment horizontal="right" wrapText="1"/>
    </xf>
    <xf numFmtId="4" fontId="5" fillId="3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5" fillId="5" borderId="10" xfId="0" applyNumberFormat="1" applyFont="1" applyFill="1" applyBorder="1" applyAlignment="1">
      <alignment horizontal="right" wrapText="1"/>
    </xf>
    <xf numFmtId="4" fontId="4" fillId="6" borderId="9" xfId="0" applyNumberFormat="1" applyFont="1" applyFill="1" applyBorder="1" applyAlignment="1">
      <alignment wrapText="1"/>
    </xf>
    <xf numFmtId="4" fontId="4" fillId="6" borderId="10" xfId="0" applyNumberFormat="1" applyFont="1" applyFill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7" borderId="7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4" fontId="4" fillId="8" borderId="14" xfId="0" applyNumberFormat="1" applyFont="1" applyFill="1" applyBorder="1" applyAlignment="1">
      <alignment wrapText="1"/>
    </xf>
    <xf numFmtId="4" fontId="4" fillId="7" borderId="9" xfId="0" applyNumberFormat="1" applyFont="1" applyFill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4" fontId="4" fillId="14" borderId="9" xfId="0" applyNumberFormat="1" applyFont="1" applyFill="1" applyBorder="1" applyAlignment="1">
      <alignment wrapText="1"/>
    </xf>
    <xf numFmtId="4" fontId="4" fillId="9" borderId="9" xfId="0" applyNumberFormat="1" applyFont="1" applyFill="1" applyBorder="1" applyAlignment="1">
      <alignment wrapText="1"/>
    </xf>
    <xf numFmtId="4" fontId="4" fillId="5" borderId="9" xfId="0" applyNumberFormat="1" applyFont="1" applyFill="1" applyBorder="1" applyAlignment="1">
      <alignment wrapText="1"/>
    </xf>
    <xf numFmtId="4" fontId="4" fillId="15" borderId="9" xfId="0" applyNumberFormat="1" applyFont="1" applyFill="1" applyBorder="1" applyAlignment="1">
      <alignment wrapText="1"/>
    </xf>
    <xf numFmtId="4" fontId="4" fillId="8" borderId="9" xfId="0" applyNumberFormat="1" applyFont="1" applyFill="1" applyBorder="1" applyAlignment="1">
      <alignment wrapText="1"/>
    </xf>
    <xf numFmtId="4" fontId="4" fillId="10" borderId="9" xfId="0" applyNumberFormat="1" applyFont="1" applyFill="1" applyBorder="1" applyAlignment="1">
      <alignment wrapText="1"/>
    </xf>
    <xf numFmtId="4" fontId="4" fillId="11" borderId="9" xfId="0" applyNumberFormat="1" applyFont="1" applyFill="1" applyBorder="1" applyAlignment="1">
      <alignment wrapText="1"/>
    </xf>
    <xf numFmtId="4" fontId="4" fillId="12" borderId="9" xfId="0" applyNumberFormat="1" applyFont="1" applyFill="1" applyBorder="1" applyAlignment="1">
      <alignment wrapText="1"/>
    </xf>
    <xf numFmtId="4" fontId="4" fillId="13" borderId="9" xfId="0" applyNumberFormat="1" applyFont="1" applyFill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wrapText="1"/>
    </xf>
    <xf numFmtId="4" fontId="5" fillId="0" borderId="18" xfId="0" applyNumberFormat="1" applyFont="1" applyBorder="1" applyAlignment="1">
      <alignment horizontal="right" wrapText="1"/>
    </xf>
    <xf numFmtId="4" fontId="4" fillId="3" borderId="18" xfId="0" applyNumberFormat="1" applyFont="1" applyFill="1" applyBorder="1" applyAlignment="1">
      <alignment horizontal="right" wrapText="1"/>
    </xf>
    <xf numFmtId="4" fontId="4" fillId="16" borderId="10" xfId="0" applyNumberFormat="1" applyFont="1" applyFill="1" applyBorder="1" applyAlignment="1">
      <alignment horizontal="right" wrapText="1"/>
    </xf>
    <xf numFmtId="4" fontId="4" fillId="5" borderId="10" xfId="0" applyNumberFormat="1" applyFont="1" applyFill="1" applyBorder="1" applyAlignment="1">
      <alignment horizontal="right" wrapText="1"/>
    </xf>
    <xf numFmtId="4" fontId="4" fillId="6" borderId="17" xfId="0" applyNumberFormat="1" applyFont="1" applyFill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4" fontId="4" fillId="17" borderId="18" xfId="0" applyNumberFormat="1" applyFont="1" applyFill="1" applyBorder="1" applyAlignment="1">
      <alignment wrapText="1"/>
    </xf>
    <xf numFmtId="4" fontId="4" fillId="7" borderId="19" xfId="0" applyNumberFormat="1" applyFont="1" applyFill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4" fontId="4" fillId="0" borderId="21" xfId="0" applyNumberFormat="1" applyFont="1" applyBorder="1" applyAlignment="1">
      <alignment wrapText="1"/>
    </xf>
    <xf numFmtId="4" fontId="4" fillId="0" borderId="22" xfId="0" applyNumberFormat="1" applyFont="1" applyBorder="1" applyAlignment="1">
      <alignment wrapText="1"/>
    </xf>
    <xf numFmtId="4" fontId="4" fillId="8" borderId="23" xfId="0" applyNumberFormat="1" applyFont="1" applyFill="1" applyBorder="1" applyAlignment="1">
      <alignment wrapText="1"/>
    </xf>
    <xf numFmtId="4" fontId="4" fillId="7" borderId="17" xfId="0" applyNumberFormat="1" applyFont="1" applyFill="1" applyBorder="1" applyAlignment="1">
      <alignment wrapText="1"/>
    </xf>
    <xf numFmtId="4" fontId="4" fillId="0" borderId="23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18" borderId="9" xfId="0" applyNumberFormat="1" applyFont="1" applyFill="1" applyBorder="1" applyAlignment="1">
      <alignment wrapText="1"/>
    </xf>
    <xf numFmtId="4" fontId="5" fillId="0" borderId="24" xfId="0" applyNumberFormat="1" applyFont="1" applyBorder="1" applyAlignment="1">
      <alignment wrapText="1"/>
    </xf>
    <xf numFmtId="0" fontId="12" fillId="0" borderId="17" xfId="0" applyFont="1" applyBorder="1" applyAlignment="1">
      <alignment horizontal="left" vertical="center" wrapText="1"/>
    </xf>
    <xf numFmtId="4" fontId="4" fillId="18" borderId="20" xfId="0" applyNumberFormat="1" applyFont="1" applyFill="1" applyBorder="1" applyAlignment="1">
      <alignment wrapText="1"/>
    </xf>
    <xf numFmtId="4" fontId="4" fillId="18" borderId="23" xfId="0" applyNumberFormat="1" applyFont="1" applyFill="1" applyBorder="1" applyAlignment="1">
      <alignment wrapText="1"/>
    </xf>
    <xf numFmtId="0" fontId="12" fillId="19" borderId="10" xfId="0" applyFont="1" applyFill="1" applyBorder="1" applyAlignment="1">
      <alignment horizontal="left" vertical="center" wrapText="1"/>
    </xf>
    <xf numFmtId="4" fontId="4" fillId="7" borderId="18" xfId="0" applyNumberFormat="1" applyFont="1" applyFill="1" applyBorder="1" applyAlignment="1">
      <alignment wrapText="1"/>
    </xf>
    <xf numFmtId="0" fontId="4" fillId="20" borderId="16" xfId="0" applyFont="1" applyFill="1" applyBorder="1" applyAlignment="1">
      <alignment horizontal="left" vertical="center" wrapText="1"/>
    </xf>
    <xf numFmtId="4" fontId="4" fillId="20" borderId="17" xfId="0" applyNumberFormat="1" applyFont="1" applyFill="1" applyBorder="1" applyAlignment="1">
      <alignment horizontal="right" wrapText="1"/>
    </xf>
    <xf numFmtId="4" fontId="4" fillId="20" borderId="18" xfId="0" applyNumberFormat="1" applyFont="1" applyFill="1" applyBorder="1" applyAlignment="1">
      <alignment horizontal="right" wrapText="1"/>
    </xf>
    <xf numFmtId="4" fontId="4" fillId="20" borderId="23" xfId="0" applyNumberFormat="1" applyFont="1" applyFill="1" applyBorder="1" applyAlignment="1">
      <alignment horizontal="right" wrapText="1"/>
    </xf>
    <xf numFmtId="4" fontId="4" fillId="20" borderId="24" xfId="0" applyNumberFormat="1" applyFont="1" applyFill="1" applyBorder="1" applyAlignment="1">
      <alignment horizontal="right" wrapText="1"/>
    </xf>
    <xf numFmtId="4" fontId="4" fillId="21" borderId="17" xfId="0" applyNumberFormat="1" applyFont="1" applyFill="1" applyBorder="1" applyAlignment="1">
      <alignment horizontal="right" wrapText="1"/>
    </xf>
    <xf numFmtId="4" fontId="4" fillId="15" borderId="17" xfId="0" applyNumberFormat="1" applyFont="1" applyFill="1" applyBorder="1" applyAlignment="1">
      <alignment horizontal="right" wrapText="1"/>
    </xf>
    <xf numFmtId="4" fontId="8" fillId="20" borderId="17" xfId="0" applyNumberFormat="1" applyFont="1" applyFill="1" applyBorder="1" applyAlignment="1">
      <alignment horizontal="right" wrapText="1"/>
    </xf>
    <xf numFmtId="4" fontId="8" fillId="15" borderId="17" xfId="0" applyNumberFormat="1" applyFont="1" applyFill="1" applyBorder="1" applyAlignment="1">
      <alignment horizontal="right" wrapText="1"/>
    </xf>
    <xf numFmtId="4" fontId="8" fillId="22" borderId="17" xfId="0" applyNumberFormat="1" applyFont="1" applyFill="1" applyBorder="1" applyAlignment="1">
      <alignment horizontal="right" wrapText="1"/>
    </xf>
    <xf numFmtId="0" fontId="4" fillId="0" borderId="25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wrapText="1"/>
    </xf>
    <xf numFmtId="4" fontId="4" fillId="3" borderId="18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5" borderId="23" xfId="0" applyNumberFormat="1" applyFont="1" applyFill="1" applyBorder="1" applyAlignment="1">
      <alignment wrapText="1"/>
    </xf>
    <xf numFmtId="4" fontId="4" fillId="5" borderId="17" xfId="0" applyNumberFormat="1" applyFont="1" applyFill="1" applyBorder="1" applyAlignment="1">
      <alignment wrapText="1"/>
    </xf>
    <xf numFmtId="4" fontId="4" fillId="8" borderId="17" xfId="0" applyNumberFormat="1" applyFont="1" applyFill="1" applyBorder="1" applyAlignment="1">
      <alignment wrapText="1"/>
    </xf>
    <xf numFmtId="4" fontId="4" fillId="14" borderId="17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" fontId="5" fillId="3" borderId="17" xfId="0" applyNumberFormat="1" applyFont="1" applyFill="1" applyBorder="1" applyAlignment="1">
      <alignment horizontal="right" wrapText="1"/>
    </xf>
    <xf numFmtId="4" fontId="5" fillId="0" borderId="25" xfId="0" applyNumberFormat="1" applyFont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5" fillId="0" borderId="26" xfId="0" applyNumberFormat="1" applyFont="1" applyBorder="1" applyAlignment="1">
      <alignment horizontal="right" wrapText="1"/>
    </xf>
    <xf numFmtId="4" fontId="5" fillId="0" borderId="26" xfId="0" applyNumberFormat="1" applyFont="1" applyBorder="1" applyAlignment="1">
      <alignment wrapText="1"/>
    </xf>
    <xf numFmtId="4" fontId="5" fillId="3" borderId="26" xfId="0" applyNumberFormat="1" applyFont="1" applyFill="1" applyBorder="1" applyAlignment="1">
      <alignment horizontal="right" wrapText="1"/>
    </xf>
    <xf numFmtId="4" fontId="5" fillId="5" borderId="26" xfId="0" applyNumberFormat="1" applyFont="1" applyFill="1" applyBorder="1" applyAlignment="1">
      <alignment horizontal="right" wrapText="1"/>
    </xf>
    <xf numFmtId="4" fontId="4" fillId="7" borderId="27" xfId="0" applyNumberFormat="1" applyFont="1" applyFill="1" applyBorder="1" applyAlignment="1">
      <alignment wrapText="1"/>
    </xf>
    <xf numFmtId="4" fontId="4" fillId="0" borderId="28" xfId="0" applyNumberFormat="1" applyFont="1" applyBorder="1" applyAlignment="1">
      <alignment wrapText="1"/>
    </xf>
    <xf numFmtId="4" fontId="4" fillId="0" borderId="29" xfId="0" applyNumberFormat="1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left" vertical="center" wrapText="1"/>
    </xf>
    <xf numFmtId="4" fontId="4" fillId="20" borderId="32" xfId="0" applyNumberFormat="1" applyFont="1" applyFill="1" applyBorder="1" applyAlignment="1">
      <alignment horizontal="right" wrapText="1"/>
    </xf>
    <xf numFmtId="4" fontId="4" fillId="20" borderId="33" xfId="0" applyNumberFormat="1" applyFont="1" applyFill="1" applyBorder="1" applyAlignment="1">
      <alignment horizontal="right" wrapText="1"/>
    </xf>
    <xf numFmtId="4" fontId="4" fillId="20" borderId="9" xfId="0" applyNumberFormat="1" applyFont="1" applyFill="1" applyBorder="1" applyAlignment="1">
      <alignment horizontal="right" wrapText="1"/>
    </xf>
    <xf numFmtId="4" fontId="4" fillId="20" borderId="15" xfId="0" applyNumberFormat="1" applyFont="1" applyFill="1" applyBorder="1" applyAlignment="1">
      <alignment horizontal="right" wrapText="1"/>
    </xf>
    <xf numFmtId="4" fontId="4" fillId="20" borderId="34" xfId="0" applyNumberFormat="1" applyFont="1" applyFill="1" applyBorder="1" applyAlignment="1">
      <alignment horizontal="right" wrapText="1"/>
    </xf>
    <xf numFmtId="4" fontId="4" fillId="0" borderId="32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35" xfId="0" applyFont="1" applyBorder="1" applyAlignment="1">
      <alignment horizontal="center" vertical="center" wrapText="1"/>
    </xf>
    <xf numFmtId="0" fontId="4" fillId="20" borderId="36" xfId="0" applyFont="1" applyFill="1" applyBorder="1" applyAlignment="1">
      <alignment horizontal="left" vertical="center" wrapText="1"/>
    </xf>
    <xf numFmtId="4" fontId="4" fillId="20" borderId="37" xfId="0" applyNumberFormat="1" applyFont="1" applyFill="1" applyBorder="1" applyAlignment="1">
      <alignment horizontal="right" wrapText="1"/>
    </xf>
    <xf numFmtId="4" fontId="4" fillId="22" borderId="37" xfId="0" applyNumberFormat="1" applyFont="1" applyFill="1" applyBorder="1" applyAlignment="1">
      <alignment horizontal="right" wrapText="1"/>
    </xf>
    <xf numFmtId="4" fontId="4" fillId="15" borderId="37" xfId="0" applyNumberFormat="1" applyFont="1" applyFill="1" applyBorder="1" applyAlignment="1">
      <alignment horizontal="right" wrapText="1"/>
    </xf>
    <xf numFmtId="4" fontId="4" fillId="23" borderId="37" xfId="0" applyNumberFormat="1" applyFont="1" applyFill="1" applyBorder="1" applyAlignment="1">
      <alignment horizontal="right" wrapText="1"/>
    </xf>
    <xf numFmtId="4" fontId="4" fillId="20" borderId="38" xfId="0" applyNumberFormat="1" applyFont="1" applyFill="1" applyBorder="1" applyAlignment="1">
      <alignment horizontal="right" wrapText="1"/>
    </xf>
    <xf numFmtId="4" fontId="4" fillId="7" borderId="37" xfId="0" applyNumberFormat="1" applyFont="1" applyFill="1" applyBorder="1" applyAlignment="1">
      <alignment horizontal="right" wrapText="1"/>
    </xf>
    <xf numFmtId="4" fontId="4" fillId="20" borderId="39" xfId="0" applyNumberFormat="1" applyFont="1" applyFill="1" applyBorder="1" applyAlignment="1">
      <alignment horizontal="right" wrapText="1"/>
    </xf>
    <xf numFmtId="4" fontId="4" fillId="20" borderId="40" xfId="0" applyNumberFormat="1" applyFont="1" applyFill="1" applyBorder="1" applyAlignment="1">
      <alignment horizontal="right" wrapText="1"/>
    </xf>
    <xf numFmtId="4" fontId="4" fillId="15" borderId="40" xfId="0" applyNumberFormat="1" applyFont="1" applyFill="1" applyBorder="1" applyAlignment="1">
      <alignment horizontal="right" wrapText="1"/>
    </xf>
    <xf numFmtId="4" fontId="4" fillId="0" borderId="37" xfId="0" applyNumberFormat="1" applyFont="1" applyBorder="1" applyAlignment="1">
      <alignment horizontal="right" wrapText="1"/>
    </xf>
    <xf numFmtId="4" fontId="4" fillId="21" borderId="37" xfId="0" applyNumberFormat="1" applyFont="1" applyFill="1" applyBorder="1" applyAlignment="1">
      <alignment horizontal="right" wrapText="1"/>
    </xf>
    <xf numFmtId="4" fontId="8" fillId="20" borderId="37" xfId="0" applyNumberFormat="1" applyFont="1" applyFill="1" applyBorder="1" applyAlignment="1">
      <alignment horizontal="right" wrapText="1"/>
    </xf>
    <xf numFmtId="4" fontId="8" fillId="15" borderId="37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3" fillId="16" borderId="4" xfId="0" applyNumberFormat="1" applyFont="1" applyFill="1" applyBorder="1" applyAlignment="1">
      <alignment horizontal="right" vertical="center" wrapText="1"/>
    </xf>
    <xf numFmtId="4" fontId="13" fillId="16" borderId="6" xfId="0" applyNumberFormat="1" applyFont="1" applyFill="1" applyBorder="1" applyAlignment="1">
      <alignment horizontal="center" wrapText="1"/>
    </xf>
    <xf numFmtId="4" fontId="13" fillId="16" borderId="3" xfId="0" applyNumberFormat="1" applyFont="1" applyFill="1" applyBorder="1"/>
    <xf numFmtId="4" fontId="8" fillId="24" borderId="6" xfId="0" applyNumberFormat="1" applyFont="1" applyFill="1" applyBorder="1" applyAlignment="1">
      <alignment horizontal="center" wrapText="1"/>
    </xf>
    <xf numFmtId="164" fontId="8" fillId="24" borderId="4" xfId="0" applyNumberFormat="1" applyFont="1" applyFill="1" applyBorder="1"/>
    <xf numFmtId="165" fontId="8" fillId="24" borderId="3" xfId="0" applyNumberFormat="1" applyFont="1" applyFill="1" applyBorder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164" fontId="14" fillId="16" borderId="4" xfId="0" applyNumberFormat="1" applyFont="1" applyFill="1" applyBorder="1" applyAlignment="1">
      <alignment horizontal="center"/>
    </xf>
    <xf numFmtId="164" fontId="14" fillId="16" borderId="5" xfId="0" applyNumberFormat="1" applyFont="1" applyFill="1" applyBorder="1" applyAlignment="1">
      <alignment horizontal="center"/>
    </xf>
    <xf numFmtId="4" fontId="4" fillId="16" borderId="6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center" wrapText="1"/>
    </xf>
    <xf numFmtId="4" fontId="8" fillId="18" borderId="0" xfId="0" applyNumberFormat="1" applyFont="1" applyFill="1" applyAlignment="1">
      <alignment horizontal="center" wrapText="1"/>
    </xf>
    <xf numFmtId="4" fontId="14" fillId="18" borderId="0" xfId="0" applyNumberFormat="1" applyFont="1" applyFill="1" applyAlignment="1">
      <alignment horizontal="center" wrapText="1"/>
    </xf>
    <xf numFmtId="164" fontId="9" fillId="18" borderId="4" xfId="0" applyNumberFormat="1" applyFont="1" applyFill="1" applyBorder="1" applyAlignment="1">
      <alignment horizontal="center"/>
    </xf>
    <xf numFmtId="4" fontId="9" fillId="18" borderId="5" xfId="0" applyNumberFormat="1" applyFont="1" applyFill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 wrapText="1"/>
    </xf>
    <xf numFmtId="4" fontId="9" fillId="18" borderId="0" xfId="0" applyNumberFormat="1" applyFont="1" applyFill="1" applyAlignment="1">
      <alignment horizontal="center" wrapText="1"/>
    </xf>
    <xf numFmtId="4" fontId="9" fillId="22" borderId="4" xfId="0" applyNumberFormat="1" applyFont="1" applyFill="1" applyBorder="1" applyAlignment="1">
      <alignment horizontal="center"/>
    </xf>
    <xf numFmtId="165" fontId="9" fillId="22" borderId="6" xfId="0" applyNumberFormat="1" applyFont="1" applyFill="1" applyBorder="1" applyAlignment="1">
      <alignment horizontal="center" wrapText="1"/>
    </xf>
    <xf numFmtId="165" fontId="9" fillId="18" borderId="0" xfId="0" applyNumberFormat="1" applyFont="1" applyFill="1" applyAlignment="1">
      <alignment horizontal="center" wrapText="1"/>
    </xf>
    <xf numFmtId="4" fontId="4" fillId="0" borderId="0" xfId="0" applyNumberFormat="1" applyFont="1" applyAlignment="1">
      <alignment wrapText="1"/>
    </xf>
    <xf numFmtId="164" fontId="9" fillId="18" borderId="41" xfId="0" applyNumberFormat="1" applyFont="1" applyFill="1" applyBorder="1" applyAlignment="1">
      <alignment horizontal="center"/>
    </xf>
    <xf numFmtId="4" fontId="9" fillId="22" borderId="4" xfId="0" applyNumberFormat="1" applyFont="1" applyFill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164" fontId="9" fillId="22" borderId="6" xfId="0" applyNumberFormat="1" applyFont="1" applyFill="1" applyBorder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left" wrapText="1"/>
    </xf>
    <xf numFmtId="0" fontId="7" fillId="0" borderId="0" xfId="0" applyFont="1"/>
    <xf numFmtId="0" fontId="10" fillId="0" borderId="0" xfId="0" applyFont="1"/>
    <xf numFmtId="4" fontId="10" fillId="0" borderId="0" xfId="0" applyNumberFormat="1" applyFont="1" applyAlignment="1">
      <alignment horizontal="right"/>
    </xf>
    <xf numFmtId="4" fontId="7" fillId="0" borderId="0" xfId="0" applyNumberFormat="1" applyFont="1"/>
    <xf numFmtId="4" fontId="10" fillId="0" borderId="0" xfId="0" applyNumberFormat="1" applyFont="1"/>
    <xf numFmtId="4" fontId="7" fillId="0" borderId="0" xfId="0" applyNumberFormat="1" applyFont="1" applyAlignment="1">
      <alignment horizontal="right"/>
    </xf>
    <xf numFmtId="4" fontId="4" fillId="24" borderId="44" xfId="0" applyNumberFormat="1" applyFont="1" applyFill="1" applyBorder="1" applyAlignment="1">
      <alignment horizontal="center"/>
    </xf>
    <xf numFmtId="164" fontId="8" fillId="24" borderId="42" xfId="0" applyNumberFormat="1" applyFont="1" applyFill="1" applyBorder="1"/>
    <xf numFmtId="165" fontId="10" fillId="24" borderId="44" xfId="0" applyNumberFormat="1" applyFont="1" applyFill="1" applyBorder="1" applyAlignment="1">
      <alignment horizontal="right"/>
    </xf>
    <xf numFmtId="4" fontId="4" fillId="24" borderId="0" xfId="0" applyNumberFormat="1" applyFont="1" applyFill="1"/>
    <xf numFmtId="4" fontId="5" fillId="0" borderId="0" xfId="0" applyNumberFormat="1" applyFont="1" applyAlignment="1">
      <alignment horizontal="center"/>
    </xf>
    <xf numFmtId="164" fontId="14" fillId="23" borderId="4" xfId="0" applyNumberFormat="1" applyFont="1" applyFill="1" applyBorder="1" applyAlignment="1">
      <alignment horizontal="center"/>
    </xf>
    <xf numFmtId="4" fontId="4" fillId="23" borderId="6" xfId="0" applyNumberFormat="1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165" fontId="4" fillId="5" borderId="6" xfId="0" applyNumberFormat="1" applyFont="1" applyFill="1" applyBorder="1" applyAlignment="1">
      <alignment horizontal="right"/>
    </xf>
    <xf numFmtId="4" fontId="4" fillId="5" borderId="20" xfId="0" applyNumberFormat="1" applyFont="1" applyFill="1" applyBorder="1" applyAlignment="1">
      <alignment horizontal="right"/>
    </xf>
    <xf numFmtId="0" fontId="4" fillId="5" borderId="20" xfId="0" applyFont="1" applyFill="1" applyBorder="1"/>
    <xf numFmtId="4" fontId="4" fillId="15" borderId="20" xfId="0" applyNumberFormat="1" applyFont="1" applyFill="1" applyBorder="1" applyAlignment="1">
      <alignment horizontal="right"/>
    </xf>
    <xf numFmtId="4" fontId="4" fillId="15" borderId="20" xfId="0" applyNumberFormat="1" applyFont="1" applyFill="1" applyBorder="1"/>
    <xf numFmtId="0" fontId="10" fillId="15" borderId="4" xfId="0" applyFont="1" applyFill="1" applyBorder="1" applyAlignment="1">
      <alignment wrapText="1"/>
    </xf>
    <xf numFmtId="4" fontId="4" fillId="15" borderId="6" xfId="0" applyNumberFormat="1" applyFont="1" applyFill="1" applyBorder="1"/>
    <xf numFmtId="4" fontId="13" fillId="0" borderId="0" xfId="0" quotePrefix="1" applyNumberFormat="1" applyFont="1" applyAlignment="1">
      <alignment horizontal="center"/>
    </xf>
    <xf numFmtId="4" fontId="13" fillId="0" borderId="0" xfId="0" quotePrefix="1" applyNumberFormat="1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/>
    <xf numFmtId="4" fontId="16" fillId="0" borderId="0" xfId="0" applyNumberFormat="1" applyFont="1"/>
    <xf numFmtId="4" fontId="17" fillId="0" borderId="0" xfId="0" applyNumberFormat="1" applyFont="1" applyAlignment="1">
      <alignment horizontal="right"/>
    </xf>
    <xf numFmtId="0" fontId="16" fillId="0" borderId="0" xfId="0" applyFont="1" applyAlignment="1">
      <alignment horizontal="right" wrapText="1"/>
    </xf>
    <xf numFmtId="4" fontId="16" fillId="0" borderId="0" xfId="0" applyNumberFormat="1" applyFont="1" applyAlignment="1">
      <alignment horizontal="left" wrapText="1"/>
    </xf>
    <xf numFmtId="4" fontId="18" fillId="0" borderId="0" xfId="0" applyNumberFormat="1" applyFont="1"/>
    <xf numFmtId="0" fontId="16" fillId="0" borderId="0" xfId="0" applyFont="1"/>
    <xf numFmtId="0" fontId="19" fillId="0" borderId="0" xfId="0" applyFont="1" applyAlignment="1">
      <alignment wrapText="1"/>
    </xf>
    <xf numFmtId="0" fontId="11" fillId="0" borderId="0" xfId="0" applyFont="1"/>
    <xf numFmtId="4" fontId="11" fillId="0" borderId="0" xfId="0" applyNumberFormat="1" applyFont="1"/>
    <xf numFmtId="1" fontId="7" fillId="0" borderId="4" xfId="0" applyNumberFormat="1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" fontId="11" fillId="8" borderId="3" xfId="0" quotePrefix="1" applyNumberFormat="1" applyFont="1" applyFill="1" applyBorder="1" applyAlignment="1">
      <alignment horizontal="center" vertical="center" wrapText="1"/>
    </xf>
    <xf numFmtId="1" fontId="4" fillId="13" borderId="3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4" fontId="4" fillId="16" borderId="10" xfId="0" applyNumberFormat="1" applyFont="1" applyFill="1" applyBorder="1" applyAlignment="1">
      <alignment wrapText="1"/>
    </xf>
    <xf numFmtId="4" fontId="4" fillId="25" borderId="10" xfId="0" applyNumberFormat="1" applyFont="1" applyFill="1" applyBorder="1" applyAlignment="1">
      <alignment wrapText="1"/>
    </xf>
    <xf numFmtId="4" fontId="11" fillId="6" borderId="9" xfId="0" applyNumberFormat="1" applyFont="1" applyFill="1" applyBorder="1" applyAlignment="1">
      <alignment wrapText="1"/>
    </xf>
    <xf numFmtId="4" fontId="21" fillId="0" borderId="9" xfId="0" applyNumberFormat="1" applyFont="1" applyBorder="1" applyAlignment="1">
      <alignment wrapText="1"/>
    </xf>
    <xf numFmtId="4" fontId="21" fillId="7" borderId="9" xfId="0" applyNumberFormat="1" applyFont="1" applyFill="1" applyBorder="1" applyAlignment="1">
      <alignment wrapText="1"/>
    </xf>
    <xf numFmtId="4" fontId="21" fillId="8" borderId="9" xfId="0" applyNumberFormat="1" applyFont="1" applyFill="1" applyBorder="1" applyAlignment="1">
      <alignment wrapText="1"/>
    </xf>
    <xf numFmtId="4" fontId="11" fillId="26" borderId="9" xfId="0" applyNumberFormat="1" applyFont="1" applyFill="1" applyBorder="1" applyAlignment="1">
      <alignment wrapText="1"/>
    </xf>
    <xf numFmtId="4" fontId="21" fillId="22" borderId="9" xfId="0" applyNumberFormat="1" applyFont="1" applyFill="1" applyBorder="1" applyAlignment="1">
      <alignment wrapText="1"/>
    </xf>
    <xf numFmtId="4" fontId="11" fillId="0" borderId="9" xfId="0" applyNumberFormat="1" applyFont="1" applyBorder="1" applyAlignment="1">
      <alignment wrapText="1"/>
    </xf>
    <xf numFmtId="4" fontId="21" fillId="5" borderId="9" xfId="0" applyNumberFormat="1" applyFont="1" applyFill="1" applyBorder="1" applyAlignment="1">
      <alignment wrapText="1"/>
    </xf>
    <xf numFmtId="4" fontId="21" fillId="15" borderId="9" xfId="0" applyNumberFormat="1" applyFont="1" applyFill="1" applyBorder="1" applyAlignment="1">
      <alignment wrapText="1"/>
    </xf>
    <xf numFmtId="4" fontId="21" fillId="14" borderId="9" xfId="0" applyNumberFormat="1" applyFont="1" applyFill="1" applyBorder="1" applyAlignment="1">
      <alignment wrapText="1"/>
    </xf>
    <xf numFmtId="4" fontId="11" fillId="8" borderId="9" xfId="0" applyNumberFormat="1" applyFont="1" applyFill="1" applyBorder="1" applyAlignment="1">
      <alignment wrapText="1"/>
    </xf>
    <xf numFmtId="4" fontId="11" fillId="5" borderId="9" xfId="0" applyNumberFormat="1" applyFont="1" applyFill="1" applyBorder="1" applyAlignment="1">
      <alignment wrapText="1"/>
    </xf>
    <xf numFmtId="4" fontId="11" fillId="15" borderId="9" xfId="0" applyNumberFormat="1" applyFont="1" applyFill="1" applyBorder="1" applyAlignment="1">
      <alignment wrapText="1"/>
    </xf>
    <xf numFmtId="4" fontId="11" fillId="14" borderId="9" xfId="0" applyNumberFormat="1" applyFont="1" applyFill="1" applyBorder="1" applyAlignment="1">
      <alignment wrapText="1"/>
    </xf>
    <xf numFmtId="4" fontId="11" fillId="18" borderId="9" xfId="0" applyNumberFormat="1" applyFont="1" applyFill="1" applyBorder="1" applyAlignment="1">
      <alignment wrapText="1"/>
    </xf>
    <xf numFmtId="4" fontId="21" fillId="11" borderId="9" xfId="0" applyNumberFormat="1" applyFont="1" applyFill="1" applyBorder="1" applyAlignment="1">
      <alignment wrapText="1"/>
    </xf>
    <xf numFmtId="4" fontId="21" fillId="18" borderId="9" xfId="0" applyNumberFormat="1" applyFont="1" applyFill="1" applyBorder="1" applyAlignment="1">
      <alignment wrapText="1"/>
    </xf>
    <xf numFmtId="4" fontId="21" fillId="12" borderId="9" xfId="0" applyNumberFormat="1" applyFont="1" applyFill="1" applyBorder="1" applyAlignment="1">
      <alignment wrapText="1"/>
    </xf>
    <xf numFmtId="4" fontId="11" fillId="13" borderId="9" xfId="0" applyNumberFormat="1" applyFont="1" applyFill="1" applyBorder="1" applyAlignment="1">
      <alignment wrapText="1"/>
    </xf>
    <xf numFmtId="4" fontId="4" fillId="26" borderId="10" xfId="0" applyNumberFormat="1" applyFont="1" applyFill="1" applyBorder="1" applyAlignment="1">
      <alignment wrapText="1"/>
    </xf>
    <xf numFmtId="4" fontId="11" fillId="25" borderId="9" xfId="0" applyNumberFormat="1" applyFont="1" applyFill="1" applyBorder="1" applyAlignment="1">
      <alignment wrapText="1"/>
    </xf>
    <xf numFmtId="4" fontId="11" fillId="27" borderId="9" xfId="0" applyNumberFormat="1" applyFont="1" applyFill="1" applyBorder="1" applyAlignment="1">
      <alignment wrapText="1"/>
    </xf>
    <xf numFmtId="4" fontId="20" fillId="2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Border="1" applyAlignment="1">
      <alignment wrapText="1"/>
    </xf>
    <xf numFmtId="4" fontId="5" fillId="3" borderId="17" xfId="0" applyNumberFormat="1" applyFont="1" applyFill="1" applyBorder="1" applyAlignment="1">
      <alignment wrapText="1"/>
    </xf>
    <xf numFmtId="4" fontId="5" fillId="3" borderId="18" xfId="0" applyNumberFormat="1" applyFont="1" applyFill="1" applyBorder="1" applyAlignment="1">
      <alignment wrapText="1"/>
    </xf>
    <xf numFmtId="4" fontId="4" fillId="16" borderId="18" xfId="0" applyNumberFormat="1" applyFont="1" applyFill="1" applyBorder="1" applyAlignment="1">
      <alignment wrapText="1"/>
    </xf>
    <xf numFmtId="0" fontId="20" fillId="0" borderId="45" xfId="0" applyFont="1" applyBorder="1" applyAlignment="1">
      <alignment horizontal="left" vertical="center" wrapText="1"/>
    </xf>
    <xf numFmtId="4" fontId="20" fillId="2" borderId="26" xfId="0" applyNumberFormat="1" applyFont="1" applyFill="1" applyBorder="1" applyAlignment="1">
      <alignment horizontal="right" vertical="center" wrapText="1"/>
    </xf>
    <xf numFmtId="4" fontId="4" fillId="3" borderId="26" xfId="0" applyNumberFormat="1" applyFont="1" applyFill="1" applyBorder="1" applyAlignment="1">
      <alignment wrapText="1"/>
    </xf>
    <xf numFmtId="4" fontId="5" fillId="3" borderId="26" xfId="0" applyNumberFormat="1" applyFont="1" applyFill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left" vertical="center" wrapText="1"/>
    </xf>
    <xf numFmtId="4" fontId="13" fillId="20" borderId="4" xfId="0" applyNumberFormat="1" applyFont="1" applyFill="1" applyBorder="1" applyAlignment="1">
      <alignment horizontal="center" wrapText="1"/>
    </xf>
    <xf numFmtId="4" fontId="13" fillId="22" borderId="4" xfId="0" applyNumberFormat="1" applyFont="1" applyFill="1" applyBorder="1" applyAlignment="1">
      <alignment horizontal="center" wrapText="1"/>
    </xf>
    <xf numFmtId="4" fontId="4" fillId="15" borderId="4" xfId="0" applyNumberFormat="1" applyFont="1" applyFill="1" applyBorder="1" applyAlignment="1">
      <alignment horizontal="center" wrapText="1"/>
    </xf>
    <xf numFmtId="4" fontId="13" fillId="15" borderId="4" xfId="0" applyNumberFormat="1" applyFont="1" applyFill="1" applyBorder="1" applyAlignment="1">
      <alignment horizontal="center" wrapText="1"/>
    </xf>
    <xf numFmtId="4" fontId="13" fillId="20" borderId="46" xfId="0" applyNumberFormat="1" applyFont="1" applyFill="1" applyBorder="1" applyAlignment="1">
      <alignment horizontal="center" wrapText="1"/>
    </xf>
    <xf numFmtId="4" fontId="13" fillId="21" borderId="4" xfId="0" applyNumberFormat="1" applyFont="1" applyFill="1" applyBorder="1" applyAlignment="1">
      <alignment horizontal="center" wrapText="1"/>
    </xf>
    <xf numFmtId="4" fontId="22" fillId="0" borderId="0" xfId="0" applyNumberFormat="1" applyFont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4" fontId="13" fillId="3" borderId="46" xfId="0" applyNumberFormat="1" applyFont="1" applyFill="1" applyBorder="1" applyAlignment="1">
      <alignment horizontal="left" vertical="center" wrapText="1"/>
    </xf>
    <xf numFmtId="4" fontId="13" fillId="21" borderId="46" xfId="0" applyNumberFormat="1" applyFont="1" applyFill="1" applyBorder="1" applyAlignment="1">
      <alignment horizontal="center" wrapText="1"/>
    </xf>
    <xf numFmtId="4" fontId="13" fillId="0" borderId="45" xfId="0" applyNumberFormat="1" applyFont="1" applyBorder="1" applyAlignment="1">
      <alignment horizontal="center" wrapText="1"/>
    </xf>
    <xf numFmtId="4" fontId="21" fillId="21" borderId="9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0" fontId="23" fillId="28" borderId="3" xfId="0" applyFont="1" applyFill="1" applyBorder="1" applyAlignment="1">
      <alignment horizontal="left" vertical="center" wrapText="1"/>
    </xf>
    <xf numFmtId="4" fontId="13" fillId="20" borderId="3" xfId="0" applyNumberFormat="1" applyFont="1" applyFill="1" applyBorder="1" applyAlignment="1">
      <alignment horizontal="center" wrapText="1"/>
    </xf>
    <xf numFmtId="4" fontId="13" fillId="22" borderId="3" xfId="0" applyNumberFormat="1" applyFont="1" applyFill="1" applyBorder="1" applyAlignment="1">
      <alignment horizontal="center" wrapText="1"/>
    </xf>
    <xf numFmtId="4" fontId="4" fillId="22" borderId="3" xfId="0" applyNumberFormat="1" applyFont="1" applyFill="1" applyBorder="1" applyAlignment="1">
      <alignment horizontal="center" wrapText="1"/>
    </xf>
    <xf numFmtId="4" fontId="4" fillId="15" borderId="3" xfId="0" applyNumberFormat="1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13" fillId="15" borderId="3" xfId="0" applyNumberFormat="1" applyFont="1" applyFill="1" applyBorder="1" applyAlignment="1">
      <alignment horizontal="center" wrapText="1"/>
    </xf>
    <xf numFmtId="4" fontId="13" fillId="21" borderId="3" xfId="0" applyNumberFormat="1" applyFont="1" applyFill="1" applyBorder="1" applyAlignment="1">
      <alignment horizontal="center" wrapText="1"/>
    </xf>
    <xf numFmtId="4" fontId="14" fillId="20" borderId="46" xfId="0" applyNumberFormat="1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9" fillId="16" borderId="6" xfId="0" applyNumberFormat="1" applyFont="1" applyFill="1" applyBorder="1" applyAlignment="1">
      <alignment horizontal="center" wrapText="1"/>
    </xf>
    <xf numFmtId="4" fontId="13" fillId="16" borderId="6" xfId="0" applyNumberFormat="1" applyFont="1" applyFill="1" applyBorder="1" applyAlignment="1">
      <alignment horizontal="right"/>
    </xf>
    <xf numFmtId="165" fontId="13" fillId="24" borderId="3" xfId="0" applyNumberFormat="1" applyFont="1" applyFill="1" applyBorder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11" fillId="25" borderId="6" xfId="0" applyNumberFormat="1" applyFont="1" applyFill="1" applyBorder="1" applyAlignment="1">
      <alignment horizontal="center"/>
    </xf>
    <xf numFmtId="4" fontId="4" fillId="10" borderId="4" xfId="0" applyNumberFormat="1" applyFont="1" applyFill="1" applyBorder="1" applyAlignment="1">
      <alignment horizontal="center" wrapText="1"/>
    </xf>
    <xf numFmtId="4" fontId="13" fillId="25" borderId="6" xfId="0" applyNumberFormat="1" applyFont="1" applyFill="1" applyBorder="1" applyAlignment="1">
      <alignment horizontal="center" wrapText="1"/>
    </xf>
    <xf numFmtId="4" fontId="9" fillId="10" borderId="5" xfId="0" applyNumberFormat="1" applyFont="1" applyFill="1" applyBorder="1" applyAlignment="1">
      <alignment horizontal="center" wrapText="1"/>
    </xf>
    <xf numFmtId="4" fontId="1" fillId="10" borderId="6" xfId="0" applyNumberFormat="1" applyFont="1" applyFill="1" applyBorder="1" applyAlignment="1">
      <alignment horizontal="left" wrapText="1"/>
    </xf>
    <xf numFmtId="4" fontId="1" fillId="10" borderId="0" xfId="0" applyNumberFormat="1" applyFont="1" applyFill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4" fillId="0" borderId="4" xfId="0" applyNumberFormat="1" applyFont="1" applyBorder="1" applyAlignment="1">
      <alignment horizontal="left" wrapText="1"/>
    </xf>
    <xf numFmtId="165" fontId="4" fillId="0" borderId="6" xfId="0" applyNumberFormat="1" applyFont="1" applyBorder="1" applyAlignment="1">
      <alignment horizontal="left" wrapText="1"/>
    </xf>
    <xf numFmtId="4" fontId="8" fillId="18" borderId="0" xfId="0" applyNumberFormat="1" applyFont="1" applyFill="1" applyAlignment="1">
      <alignment horizontal="left" wrapText="1"/>
    </xf>
    <xf numFmtId="164" fontId="9" fillId="18" borderId="0" xfId="0" applyNumberFormat="1" applyFont="1" applyFill="1" applyAlignment="1">
      <alignment horizontal="center"/>
    </xf>
    <xf numFmtId="0" fontId="5" fillId="0" borderId="4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4" fontId="8" fillId="18" borderId="20" xfId="0" applyNumberFormat="1" applyFont="1" applyFill="1" applyBorder="1" applyAlignment="1">
      <alignment horizontal="left" wrapText="1"/>
    </xf>
    <xf numFmtId="4" fontId="8" fillId="0" borderId="20" xfId="0" applyNumberFormat="1" applyFont="1" applyBorder="1" applyAlignment="1">
      <alignment horizontal="left" wrapText="1"/>
    </xf>
    <xf numFmtId="4" fontId="8" fillId="18" borderId="16" xfId="0" applyNumberFormat="1" applyFont="1" applyFill="1" applyBorder="1" applyAlignment="1">
      <alignment horizontal="left" wrapText="1"/>
    </xf>
    <xf numFmtId="4" fontId="8" fillId="22" borderId="1" xfId="0" applyNumberFormat="1" applyFont="1" applyFill="1" applyBorder="1" applyAlignment="1">
      <alignment horizontal="left" wrapText="1"/>
    </xf>
    <xf numFmtId="164" fontId="8" fillId="22" borderId="48" xfId="0" applyNumberFormat="1" applyFont="1" applyFill="1" applyBorder="1" applyAlignment="1">
      <alignment horizontal="left" wrapText="1"/>
    </xf>
    <xf numFmtId="4" fontId="1" fillId="0" borderId="21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left" wrapText="1"/>
    </xf>
    <xf numFmtId="4" fontId="24" fillId="0" borderId="20" xfId="0" applyNumberFormat="1" applyFont="1" applyBorder="1" applyAlignment="1">
      <alignment horizontal="center" wrapText="1"/>
    </xf>
    <xf numFmtId="4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/>
    </xf>
    <xf numFmtId="164" fontId="8" fillId="0" borderId="0" xfId="0" applyNumberFormat="1" applyFont="1"/>
    <xf numFmtId="165" fontId="13" fillId="0" borderId="0" xfId="0" applyNumberFormat="1" applyFont="1" applyAlignment="1">
      <alignment horizontal="center" wrapText="1"/>
    </xf>
    <xf numFmtId="4" fontId="13" fillId="15" borderId="6" xfId="0" applyNumberFormat="1" applyFont="1" applyFill="1" applyBorder="1" applyAlignment="1">
      <alignment horizontal="center" wrapText="1"/>
    </xf>
    <xf numFmtId="4" fontId="11" fillId="29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25" borderId="0" xfId="0" applyNumberFormat="1" applyFont="1" applyFill="1" applyAlignment="1">
      <alignment horizontal="center"/>
    </xf>
    <xf numFmtId="4" fontId="11" fillId="7" borderId="0" xfId="0" applyNumberFormat="1" applyFont="1" applyFill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4" fontId="11" fillId="25" borderId="5" xfId="0" applyNumberFormat="1" applyFont="1" applyFill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165" fontId="4" fillId="15" borderId="3" xfId="0" applyNumberFormat="1" applyFont="1" applyFill="1" applyBorder="1"/>
    <xf numFmtId="4" fontId="11" fillId="0" borderId="21" xfId="0" applyNumberFormat="1" applyFont="1" applyBorder="1" applyAlignment="1">
      <alignment horizontal="left" wrapText="1"/>
    </xf>
    <xf numFmtId="0" fontId="9" fillId="0" borderId="3" xfId="0" applyFont="1" applyBorder="1" applyAlignment="1">
      <alignment wrapText="1"/>
    </xf>
    <xf numFmtId="165" fontId="4" fillId="15" borderId="0" xfId="0" applyNumberFormat="1" applyFont="1" applyFill="1"/>
    <xf numFmtId="165" fontId="4" fillId="14" borderId="20" xfId="0" applyNumberFormat="1" applyFont="1" applyFill="1" applyBorder="1"/>
    <xf numFmtId="4" fontId="25" fillId="0" borderId="20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wrapText="1"/>
    </xf>
    <xf numFmtId="4" fontId="4" fillId="15" borderId="6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4" xfId="0" applyFont="1" applyBorder="1" applyAlignment="1">
      <alignment wrapText="1"/>
    </xf>
    <xf numFmtId="4" fontId="11" fillId="15" borderId="42" xfId="0" applyNumberFormat="1" applyFont="1" applyFill="1" applyBorder="1" applyAlignment="1">
      <alignment horizontal="center"/>
    </xf>
    <xf numFmtId="4" fontId="11" fillId="15" borderId="43" xfId="0" applyNumberFormat="1" applyFont="1" applyFill="1" applyBorder="1" applyAlignment="1">
      <alignment horizontal="center"/>
    </xf>
    <xf numFmtId="4" fontId="4" fillId="15" borderId="44" xfId="0" applyNumberFormat="1" applyFont="1" applyFill="1" applyBorder="1" applyAlignment="1">
      <alignment horizontal="center" wrapText="1"/>
    </xf>
    <xf numFmtId="4" fontId="9" fillId="0" borderId="43" xfId="0" applyNumberFormat="1" applyFont="1" applyBorder="1" applyAlignment="1">
      <alignment horizontal="left" wrapText="1"/>
    </xf>
    <xf numFmtId="2" fontId="11" fillId="0" borderId="4" xfId="0" applyNumberFormat="1" applyFont="1" applyBorder="1" applyAlignment="1">
      <alignment horizontal="center" vertical="center" wrapText="1"/>
    </xf>
    <xf numFmtId="4" fontId="10" fillId="30" borderId="3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4" fontId="4" fillId="2" borderId="51" xfId="0" applyNumberFormat="1" applyFont="1" applyFill="1" applyBorder="1" applyAlignment="1">
      <alignment horizontal="center" wrapText="1"/>
    </xf>
    <xf numFmtId="4" fontId="4" fillId="0" borderId="35" xfId="0" applyNumberFormat="1" applyFont="1" applyBorder="1"/>
    <xf numFmtId="4" fontId="4" fillId="3" borderId="52" xfId="0" applyNumberFormat="1" applyFont="1" applyFill="1" applyBorder="1"/>
    <xf numFmtId="4" fontId="4" fillId="24" borderId="52" xfId="0" applyNumberFormat="1" applyFont="1" applyFill="1" applyBorder="1"/>
    <xf numFmtId="4" fontId="4" fillId="0" borderId="53" xfId="0" applyNumberFormat="1" applyFont="1" applyBorder="1"/>
    <xf numFmtId="4" fontId="4" fillId="0" borderId="51" xfId="0" applyNumberFormat="1" applyFont="1" applyBorder="1"/>
    <xf numFmtId="4" fontId="4" fillId="24" borderId="3" xfId="0" applyNumberFormat="1" applyFont="1" applyFill="1" applyBorder="1"/>
    <xf numFmtId="4" fontId="4" fillId="4" borderId="1" xfId="0" applyNumberFormat="1" applyFont="1" applyFill="1" applyBorder="1"/>
    <xf numFmtId="4" fontId="4" fillId="3" borderId="54" xfId="0" applyNumberFormat="1" applyFont="1" applyFill="1" applyBorder="1"/>
    <xf numFmtId="4" fontId="4" fillId="24" borderId="2" xfId="0" applyNumberFormat="1" applyFont="1" applyFill="1" applyBorder="1"/>
    <xf numFmtId="4" fontId="4" fillId="0" borderId="48" xfId="0" applyNumberFormat="1" applyFont="1" applyBorder="1"/>
    <xf numFmtId="4" fontId="4" fillId="3" borderId="5" xfId="0" applyNumberFormat="1" applyFont="1" applyFill="1" applyBorder="1"/>
    <xf numFmtId="4" fontId="4" fillId="0" borderId="3" xfId="0" applyNumberFormat="1" applyFont="1" applyBorder="1"/>
    <xf numFmtId="4" fontId="4" fillId="6" borderId="3" xfId="0" applyNumberFormat="1" applyFont="1" applyFill="1" applyBorder="1"/>
    <xf numFmtId="4" fontId="4" fillId="0" borderId="46" xfId="0" applyNumberFormat="1" applyFont="1" applyBorder="1"/>
    <xf numFmtId="4" fontId="4" fillId="7" borderId="46" xfId="0" applyNumberFormat="1" applyFont="1" applyFill="1" applyBorder="1"/>
    <xf numFmtId="4" fontId="4" fillId="8" borderId="3" xfId="0" applyNumberFormat="1" applyFont="1" applyFill="1" applyBorder="1"/>
    <xf numFmtId="4" fontId="4" fillId="22" borderId="3" xfId="0" applyNumberFormat="1" applyFont="1" applyFill="1" applyBorder="1"/>
    <xf numFmtId="4" fontId="8" fillId="0" borderId="3" xfId="0" applyNumberFormat="1" applyFont="1" applyBorder="1"/>
    <xf numFmtId="4" fontId="8" fillId="5" borderId="3" xfId="0" applyNumberFormat="1" applyFont="1" applyFill="1" applyBorder="1"/>
    <xf numFmtId="4" fontId="8" fillId="14" borderId="3" xfId="0" applyNumberFormat="1" applyFont="1" applyFill="1" applyBorder="1"/>
    <xf numFmtId="4" fontId="8" fillId="8" borderId="3" xfId="0" applyNumberFormat="1" applyFont="1" applyFill="1" applyBorder="1"/>
    <xf numFmtId="4" fontId="4" fillId="5" borderId="3" xfId="0" applyNumberFormat="1" applyFont="1" applyFill="1" applyBorder="1"/>
    <xf numFmtId="4" fontId="8" fillId="30" borderId="3" xfId="0" applyNumberFormat="1" applyFont="1" applyFill="1" applyBorder="1"/>
    <xf numFmtId="4" fontId="8" fillId="11" borderId="3" xfId="0" applyNumberFormat="1" applyFont="1" applyFill="1" applyBorder="1"/>
    <xf numFmtId="4" fontId="8" fillId="31" borderId="3" xfId="0" applyNumberFormat="1" applyFont="1" applyFill="1" applyBorder="1"/>
    <xf numFmtId="4" fontId="4" fillId="13" borderId="3" xfId="0" applyNumberFormat="1" applyFont="1" applyFill="1" applyBorder="1"/>
    <xf numFmtId="4" fontId="4" fillId="2" borderId="3" xfId="0" applyNumberFormat="1" applyFont="1" applyFill="1" applyBorder="1"/>
    <xf numFmtId="4" fontId="9" fillId="16" borderId="4" xfId="0" applyNumberFormat="1" applyFont="1" applyFill="1" applyBorder="1" applyAlignment="1">
      <alignment horizontal="right" vertical="center" wrapText="1"/>
    </xf>
    <xf numFmtId="4" fontId="13" fillId="16" borderId="3" xfId="0" applyNumberFormat="1" applyFont="1" applyFill="1" applyBorder="1" applyAlignment="1">
      <alignment horizontal="center" wrapText="1"/>
    </xf>
    <xf numFmtId="4" fontId="1" fillId="16" borderId="6" xfId="0" applyNumberFormat="1" applyFont="1" applyFill="1" applyBorder="1"/>
    <xf numFmtId="4" fontId="4" fillId="16" borderId="6" xfId="0" applyNumberFormat="1" applyFont="1" applyFill="1" applyBorder="1"/>
    <xf numFmtId="4" fontId="4" fillId="0" borderId="0" xfId="0" applyNumberFormat="1" applyFont="1" applyAlignment="1">
      <alignment horizontal="left" wrapText="1"/>
    </xf>
    <xf numFmtId="4" fontId="4" fillId="18" borderId="20" xfId="0" applyNumberFormat="1" applyFont="1" applyFill="1" applyBorder="1" applyAlignment="1">
      <alignment horizontal="left" wrapText="1"/>
    </xf>
    <xf numFmtId="4" fontId="4" fillId="18" borderId="0" xfId="0" applyNumberFormat="1" applyFont="1" applyFill="1" applyAlignment="1">
      <alignment horizontal="left" wrapText="1"/>
    </xf>
    <xf numFmtId="4" fontId="4" fillId="18" borderId="6" xfId="0" applyNumberFormat="1" applyFont="1" applyFill="1" applyBorder="1" applyAlignment="1">
      <alignment horizontal="left" wrapText="1"/>
    </xf>
    <xf numFmtId="164" fontId="13" fillId="18" borderId="4" xfId="0" applyNumberFormat="1" applyFont="1" applyFill="1" applyBorder="1" applyAlignment="1">
      <alignment horizontal="center" wrapText="1"/>
    </xf>
    <xf numFmtId="4" fontId="13" fillId="18" borderId="5" xfId="0" applyNumberFormat="1" applyFont="1" applyFill="1" applyBorder="1"/>
    <xf numFmtId="4" fontId="4" fillId="0" borderId="55" xfId="0" quotePrefix="1" applyNumberFormat="1" applyFont="1" applyBorder="1" applyAlignment="1">
      <alignment horizontal="center"/>
    </xf>
    <xf numFmtId="0" fontId="14" fillId="0" borderId="12" xfId="0" applyFont="1" applyBorder="1"/>
    <xf numFmtId="0" fontId="1" fillId="19" borderId="30" xfId="0" applyFont="1" applyFill="1" applyBorder="1" applyAlignment="1">
      <alignment horizontal="left"/>
    </xf>
    <xf numFmtId="4" fontId="1" fillId="19" borderId="56" xfId="0" applyNumberFormat="1" applyFont="1" applyFill="1" applyBorder="1"/>
    <xf numFmtId="4" fontId="5" fillId="19" borderId="50" xfId="0" applyNumberFormat="1" applyFont="1" applyFill="1" applyBorder="1"/>
    <xf numFmtId="4" fontId="4" fillId="16" borderId="3" xfId="0" applyNumberFormat="1" applyFont="1" applyFill="1" applyBorder="1"/>
    <xf numFmtId="4" fontId="8" fillId="16" borderId="6" xfId="0" applyNumberFormat="1" applyFont="1" applyFill="1" applyBorder="1" applyAlignment="1">
      <alignment wrapText="1"/>
    </xf>
    <xf numFmtId="4" fontId="1" fillId="15" borderId="6" xfId="0" applyNumberFormat="1" applyFont="1" applyFill="1" applyBorder="1"/>
    <xf numFmtId="4" fontId="13" fillId="23" borderId="4" xfId="0" applyNumberFormat="1" applyFont="1" applyFill="1" applyBorder="1" applyAlignment="1">
      <alignment horizontal="center" wrapText="1"/>
    </xf>
    <xf numFmtId="4" fontId="4" fillId="23" borderId="6" xfId="0" applyNumberFormat="1" applyFont="1" applyFill="1" applyBorder="1"/>
    <xf numFmtId="4" fontId="4" fillId="0" borderId="4" xfId="0" applyNumberFormat="1" applyFont="1" applyBorder="1"/>
    <xf numFmtId="4" fontId="4" fillId="0" borderId="6" xfId="0" applyNumberFormat="1" applyFont="1" applyBorder="1"/>
    <xf numFmtId="4" fontId="4" fillId="15" borderId="4" xfId="0" applyNumberFormat="1" applyFont="1" applyFill="1" applyBorder="1"/>
    <xf numFmtId="4" fontId="4" fillId="0" borderId="21" xfId="0" applyNumberFormat="1" applyFont="1" applyBorder="1"/>
    <xf numFmtId="4" fontId="4" fillId="0" borderId="12" xfId="0" applyNumberFormat="1" applyFont="1" applyBorder="1"/>
    <xf numFmtId="4" fontId="4" fillId="0" borderId="23" xfId="0" applyNumberFormat="1" applyFont="1" applyBorder="1"/>
    <xf numFmtId="4" fontId="4" fillId="32" borderId="12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32" borderId="11" xfId="0" applyNumberFormat="1" applyFont="1" applyFill="1" applyBorder="1" applyAlignment="1">
      <alignment horizontal="center" wrapText="1"/>
    </xf>
    <xf numFmtId="4" fontId="4" fillId="32" borderId="12" xfId="0" applyNumberFormat="1" applyFont="1" applyFill="1" applyBorder="1" applyAlignment="1">
      <alignment horizontal="center" wrapText="1"/>
    </xf>
    <xf numFmtId="4" fontId="8" fillId="20" borderId="20" xfId="0" applyNumberFormat="1" applyFont="1" applyFill="1" applyBorder="1" applyAlignment="1">
      <alignment horizontal="center" wrapText="1"/>
    </xf>
    <xf numFmtId="4" fontId="4" fillId="20" borderId="20" xfId="0" applyNumberFormat="1" applyFont="1" applyFill="1" applyBorder="1"/>
    <xf numFmtId="0" fontId="4" fillId="19" borderId="27" xfId="0" applyFont="1" applyFill="1" applyBorder="1" applyAlignment="1">
      <alignment horizontal="right"/>
    </xf>
    <xf numFmtId="4" fontId="4" fillId="19" borderId="29" xfId="0" applyNumberFormat="1" applyFont="1" applyFill="1" applyBorder="1"/>
    <xf numFmtId="4" fontId="5" fillId="19" borderId="43" xfId="0" applyNumberFormat="1" applyFont="1" applyFill="1" applyBorder="1"/>
    <xf numFmtId="4" fontId="4" fillId="19" borderId="43" xfId="0" applyNumberFormat="1" applyFont="1" applyFill="1" applyBorder="1"/>
    <xf numFmtId="4" fontId="4" fillId="24" borderId="42" xfId="0" applyNumberFormat="1" applyFont="1" applyFill="1" applyBorder="1"/>
    <xf numFmtId="4" fontId="4" fillId="24" borderId="44" xfId="0" applyNumberFormat="1" applyFont="1" applyFill="1" applyBorder="1"/>
    <xf numFmtId="4" fontId="5" fillId="19" borderId="44" xfId="0" applyNumberFormat="1" applyFont="1" applyFill="1" applyBorder="1"/>
    <xf numFmtId="4" fontId="5" fillId="0" borderId="44" xfId="0" applyNumberFormat="1" applyFont="1" applyBorder="1"/>
    <xf numFmtId="4" fontId="4" fillId="0" borderId="44" xfId="0" applyNumberFormat="1" applyFont="1" applyBorder="1"/>
    <xf numFmtId="4" fontId="10" fillId="0" borderId="44" xfId="0" applyNumberFormat="1" applyFont="1" applyBorder="1"/>
    <xf numFmtId="4" fontId="4" fillId="33" borderId="3" xfId="0" applyNumberFormat="1" applyFont="1" applyFill="1" applyBorder="1" applyAlignment="1">
      <alignment horizontal="center" vertical="center" wrapText="1"/>
    </xf>
    <xf numFmtId="4" fontId="4" fillId="33" borderId="6" xfId="0" applyNumberFormat="1" applyFont="1" applyFill="1" applyBorder="1"/>
    <xf numFmtId="4" fontId="4" fillId="33" borderId="5" xfId="0" applyNumberFormat="1" applyFont="1" applyFill="1" applyBorder="1"/>
    <xf numFmtId="4" fontId="10" fillId="0" borderId="6" xfId="0" applyNumberFormat="1" applyFont="1" applyBorder="1"/>
    <xf numFmtId="4" fontId="11" fillId="0" borderId="0" xfId="0" applyNumberFormat="1" applyFont="1" applyAlignment="1">
      <alignment horizontal="left"/>
    </xf>
    <xf numFmtId="0" fontId="11" fillId="6" borderId="41" xfId="0" applyFont="1" applyFill="1" applyBorder="1" applyAlignment="1">
      <alignment horizontal="right"/>
    </xf>
    <xf numFmtId="3" fontId="1" fillId="6" borderId="57" xfId="0" applyNumberFormat="1" applyFont="1" applyFill="1" applyBorder="1" applyAlignment="1">
      <alignment horizontal="left"/>
    </xf>
    <xf numFmtId="4" fontId="4" fillId="6" borderId="5" xfId="0" applyNumberFormat="1" applyFont="1" applyFill="1" applyBorder="1"/>
    <xf numFmtId="3" fontId="4" fillId="6" borderId="5" xfId="0" applyNumberFormat="1" applyFont="1" applyFill="1" applyBorder="1"/>
    <xf numFmtId="4" fontId="11" fillId="6" borderId="6" xfId="0" applyNumberFormat="1" applyFont="1" applyFill="1" applyBorder="1"/>
    <xf numFmtId="4" fontId="11" fillId="6" borderId="0" xfId="0" applyNumberFormat="1" applyFont="1" applyFill="1"/>
    <xf numFmtId="4" fontId="4" fillId="6" borderId="40" xfId="0" applyNumberFormat="1" applyFont="1" applyFill="1" applyBorder="1"/>
    <xf numFmtId="4" fontId="4" fillId="6" borderId="0" xfId="0" applyNumberFormat="1" applyFont="1" applyFill="1"/>
    <xf numFmtId="0" fontId="4" fillId="19" borderId="58" xfId="0" applyFont="1" applyFill="1" applyBorder="1" applyAlignment="1">
      <alignment horizontal="right"/>
    </xf>
    <xf numFmtId="4" fontId="4" fillId="19" borderId="57" xfId="0" applyNumberFormat="1" applyFont="1" applyFill="1" applyBorder="1"/>
    <xf numFmtId="3" fontId="4" fillId="0" borderId="0" xfId="0" applyNumberFormat="1" applyFont="1"/>
    <xf numFmtId="14" fontId="5" fillId="0" borderId="0" xfId="0" applyNumberFormat="1" applyFont="1"/>
    <xf numFmtId="4" fontId="4" fillId="6" borderId="50" xfId="0" applyNumberFormat="1" applyFont="1" applyFill="1" applyBorder="1"/>
    <xf numFmtId="4" fontId="5" fillId="6" borderId="50" xfId="0" applyNumberFormat="1" applyFont="1" applyFill="1" applyBorder="1"/>
    <xf numFmtId="4" fontId="4" fillId="6" borderId="57" xfId="0" applyNumberFormat="1" applyFont="1" applyFill="1" applyBorder="1"/>
    <xf numFmtId="0" fontId="11" fillId="31" borderId="0" xfId="0" applyFont="1" applyFill="1"/>
    <xf numFmtId="4" fontId="5" fillId="31" borderId="0" xfId="0" applyNumberFormat="1" applyFont="1" applyFill="1" applyAlignment="1">
      <alignment horizontal="left"/>
    </xf>
    <xf numFmtId="0" fontId="26" fillId="4" borderId="4" xfId="0" applyFont="1" applyFill="1" applyBorder="1" applyAlignment="1">
      <alignment horizontal="right"/>
    </xf>
    <xf numFmtId="4" fontId="4" fillId="4" borderId="3" xfId="0" applyNumberFormat="1" applyFont="1" applyFill="1" applyBorder="1"/>
    <xf numFmtId="4" fontId="13" fillId="16" borderId="5" xfId="0" applyNumberFormat="1" applyFont="1" applyFill="1" applyBorder="1"/>
    <xf numFmtId="4" fontId="4" fillId="16" borderId="5" xfId="0" applyNumberFormat="1" applyFont="1" applyFill="1" applyBorder="1"/>
    <xf numFmtId="4" fontId="5" fillId="16" borderId="5" xfId="0" applyNumberFormat="1" applyFont="1" applyFill="1" applyBorder="1"/>
    <xf numFmtId="4" fontId="5" fillId="0" borderId="5" xfId="0" applyNumberFormat="1" applyFont="1" applyBorder="1"/>
    <xf numFmtId="3" fontId="1" fillId="0" borderId="0" xfId="0" applyNumberFormat="1" applyFont="1"/>
    <xf numFmtId="14" fontId="1" fillId="0" borderId="0" xfId="0" quotePrefix="1" applyNumberFormat="1" applyFont="1"/>
    <xf numFmtId="0" fontId="26" fillId="11" borderId="4" xfId="0" applyFont="1" applyFill="1" applyBorder="1" applyAlignment="1">
      <alignment horizontal="right"/>
    </xf>
    <xf numFmtId="4" fontId="4" fillId="11" borderId="3" xfId="0" applyNumberFormat="1" applyFont="1" applyFill="1" applyBorder="1"/>
    <xf numFmtId="4" fontId="27" fillId="0" borderId="0" xfId="0" applyNumberFormat="1" applyFont="1"/>
    <xf numFmtId="4" fontId="4" fillId="0" borderId="0" xfId="0" applyNumberFormat="1" applyFont="1" applyAlignment="1">
      <alignment horizontal="center"/>
    </xf>
    <xf numFmtId="164" fontId="13" fillId="16" borderId="4" xfId="0" applyNumberFormat="1" applyFont="1" applyFill="1" applyBorder="1" applyAlignment="1">
      <alignment horizontal="center"/>
    </xf>
    <xf numFmtId="164" fontId="13" fillId="16" borderId="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 horizontal="left" wrapText="1"/>
    </xf>
    <xf numFmtId="164" fontId="13" fillId="18" borderId="4" xfId="0" applyNumberFormat="1" applyFont="1" applyFill="1" applyBorder="1" applyAlignment="1">
      <alignment horizontal="center"/>
    </xf>
    <xf numFmtId="164" fontId="13" fillId="18" borderId="5" xfId="0" applyNumberFormat="1" applyFont="1" applyFill="1" applyBorder="1" applyAlignment="1">
      <alignment horizontal="center"/>
    </xf>
    <xf numFmtId="4" fontId="4" fillId="24" borderId="42" xfId="0" applyNumberFormat="1" applyFont="1" applyFill="1" applyBorder="1" applyAlignment="1">
      <alignment horizontal="center"/>
    </xf>
    <xf numFmtId="4" fontId="4" fillId="24" borderId="43" xfId="0" applyNumberFormat="1" applyFont="1" applyFill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4" fontId="4" fillId="32" borderId="16" xfId="0" applyNumberFormat="1" applyFont="1" applyFill="1" applyBorder="1" applyAlignment="1">
      <alignment horizontal="right"/>
    </xf>
    <xf numFmtId="4" fontId="4" fillId="32" borderId="23" xfId="0" applyNumberFormat="1" applyFont="1" applyFill="1" applyBorder="1" applyAlignment="1">
      <alignment horizontal="right"/>
    </xf>
    <xf numFmtId="4" fontId="4" fillId="32" borderId="21" xfId="0" applyNumberFormat="1" applyFont="1" applyFill="1" applyBorder="1" applyAlignment="1">
      <alignment horizontal="right"/>
    </xf>
    <xf numFmtId="4" fontId="11" fillId="29" borderId="4" xfId="0" applyNumberFormat="1" applyFont="1" applyFill="1" applyBorder="1" applyAlignment="1">
      <alignment horizontal="center"/>
    </xf>
    <xf numFmtId="4" fontId="11" fillId="29" borderId="5" xfId="0" applyNumberFormat="1" applyFont="1" applyFill="1" applyBorder="1" applyAlignment="1">
      <alignment horizontal="center"/>
    </xf>
    <xf numFmtId="4" fontId="11" fillId="29" borderId="6" xfId="0" applyNumberFormat="1" applyFont="1" applyFill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left" wrapText="1"/>
    </xf>
    <xf numFmtId="4" fontId="4" fillId="0" borderId="4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left" wrapText="1"/>
    </xf>
    <xf numFmtId="4" fontId="14" fillId="16" borderId="4" xfId="0" applyNumberFormat="1" applyFont="1" applyFill="1" applyBorder="1" applyAlignment="1">
      <alignment horizontal="center" wrapText="1"/>
    </xf>
    <xf numFmtId="4" fontId="14" fillId="16" borderId="5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left" wrapText="1"/>
    </xf>
    <xf numFmtId="4" fontId="14" fillId="18" borderId="20" xfId="0" applyNumberFormat="1" applyFont="1" applyFill="1" applyBorder="1" applyAlignment="1">
      <alignment horizontal="center" wrapText="1"/>
    </xf>
    <xf numFmtId="4" fontId="14" fillId="18" borderId="47" xfId="0" applyNumberFormat="1" applyFont="1" applyFill="1" applyBorder="1" applyAlignment="1">
      <alignment horizontal="center" wrapText="1"/>
    </xf>
    <xf numFmtId="4" fontId="9" fillId="25" borderId="5" xfId="0" applyNumberFormat="1" applyFont="1" applyFill="1" applyBorder="1" applyAlignment="1">
      <alignment horizontal="center" wrapText="1"/>
    </xf>
    <xf numFmtId="4" fontId="9" fillId="25" borderId="6" xfId="0" applyNumberFormat="1" applyFont="1" applyFill="1" applyBorder="1" applyAlignment="1">
      <alignment horizontal="center" wrapText="1"/>
    </xf>
    <xf numFmtId="4" fontId="9" fillId="25" borderId="4" xfId="0" applyNumberFormat="1" applyFont="1" applyFill="1" applyBorder="1" applyAlignment="1">
      <alignment horizontal="center" wrapText="1"/>
    </xf>
    <xf numFmtId="4" fontId="9" fillId="0" borderId="49" xfId="0" applyNumberFormat="1" applyFont="1" applyBorder="1" applyAlignment="1">
      <alignment horizontal="center" wrapText="1"/>
    </xf>
    <xf numFmtId="4" fontId="9" fillId="0" borderId="2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DS02CASBR\Users\daniela.lungu\Documents\PARA-SUME%20CONTRACTE%20OCT2023.xls" TargetMode="External"/><Relationship Id="rId1" Type="http://schemas.openxmlformats.org/officeDocument/2006/relationships/externalLinkPath" Target="file:///\\ADS02CASBR\Users\daniela.lungu\Documents\PARA-SUME%20CONTRACTE%20OCT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upa OCT-R  "/>
      <sheetName val="dupa OCT-L  "/>
      <sheetName val="dupa SEPT-R "/>
      <sheetName val="dupa SEPT-L "/>
      <sheetName val="dupa AUGUST-L "/>
      <sheetName val="dupa AUGUST-R  "/>
      <sheetName val="dupa IULIE-R "/>
      <sheetName val="dupa IULIE-L "/>
      <sheetName val="dupa IUNIE-L"/>
      <sheetName val="dupa IUNIE-R "/>
      <sheetName val="dupaMAI-R"/>
      <sheetName val="dupa MAI-L"/>
      <sheetName val="dupaAPR-R"/>
      <sheetName val="dupa APR-L"/>
      <sheetName val="dupaMAR-R"/>
      <sheetName val="dupa MAR-L"/>
      <sheetName val="TR 2 2023-R"/>
      <sheetName val="TR 2 2023-L"/>
      <sheetName val="dupa FEB2022-R"/>
      <sheetName val="dupa FEB2022-L"/>
      <sheetName val="FEB2022-R"/>
      <sheetName val="FEB2022-L"/>
    </sheetNames>
    <sheetDataSet>
      <sheetData sheetId="0">
        <row r="24">
          <cell r="BJ24">
            <v>961442.76</v>
          </cell>
          <cell r="BO24">
            <v>375498.36</v>
          </cell>
          <cell r="BP24">
            <v>215018.90037069947</v>
          </cell>
          <cell r="BS24">
            <v>1484369.4703706997</v>
          </cell>
          <cell r="BT24">
            <v>6789754.0303706992</v>
          </cell>
          <cell r="BU24">
            <v>6266827.3200000003</v>
          </cell>
        </row>
        <row r="25">
          <cell r="BL25">
            <v>515980.31941306981</v>
          </cell>
        </row>
      </sheetData>
      <sheetData sheetId="1"/>
      <sheetData sheetId="2">
        <row r="24">
          <cell r="R24">
            <v>1397112</v>
          </cell>
          <cell r="S24">
            <v>1467140</v>
          </cell>
          <cell r="AW24">
            <v>381466.11</v>
          </cell>
          <cell r="AX24">
            <v>863955.21</v>
          </cell>
          <cell r="BB24">
            <v>2441132.56</v>
          </cell>
          <cell r="BD24">
            <v>419330.36095762969</v>
          </cell>
          <cell r="BE24">
            <v>203000</v>
          </cell>
          <cell r="BF24">
            <v>26713.59</v>
          </cell>
          <cell r="BG24">
            <v>145647.39000000001</v>
          </cell>
          <cell r="BH24">
            <v>30639.02</v>
          </cell>
          <cell r="BI24">
            <v>446043.95095762971</v>
          </cell>
          <cell r="BJ24">
            <v>233790</v>
          </cell>
          <cell r="BL24">
            <v>100149.99999999999</v>
          </cell>
          <cell r="BM24">
            <v>142907.81</v>
          </cell>
        </row>
        <row r="25">
          <cell r="AY25">
            <v>483905.45095762971</v>
          </cell>
        </row>
      </sheetData>
      <sheetData sheetId="3"/>
      <sheetData sheetId="4"/>
      <sheetData sheetId="5">
        <row r="24">
          <cell r="AR24">
            <v>776998.94</v>
          </cell>
          <cell r="BE24">
            <v>14.440000000007558</v>
          </cell>
        </row>
        <row r="25">
          <cell r="AS25">
            <v>394128.87378808984</v>
          </cell>
        </row>
      </sheetData>
      <sheetData sheetId="6">
        <row r="24">
          <cell r="AH24">
            <v>1875982.58</v>
          </cell>
          <cell r="AK24">
            <v>397106.90051512001</v>
          </cell>
          <cell r="AL24">
            <v>800178.40999999992</v>
          </cell>
          <cell r="AM24">
            <v>29851.178777236582</v>
          </cell>
          <cell r="AO24">
            <v>29851.178777236582</v>
          </cell>
          <cell r="AP24">
            <v>379723.36</v>
          </cell>
          <cell r="AQ24">
            <v>409574.53877723654</v>
          </cell>
          <cell r="AR24">
            <v>338390</v>
          </cell>
        </row>
        <row r="25">
          <cell r="AM25">
            <v>432937.12826211657</v>
          </cell>
        </row>
      </sheetData>
      <sheetData sheetId="7"/>
      <sheetData sheetId="8"/>
      <sheetData sheetId="9">
        <row r="24">
          <cell r="AE24">
            <v>478434</v>
          </cell>
          <cell r="AF24">
            <v>10737.040515119974</v>
          </cell>
        </row>
        <row r="25">
          <cell r="AF25">
            <v>243124.54340754001</v>
          </cell>
        </row>
      </sheetData>
      <sheetData sheetId="10">
        <row r="22">
          <cell r="AA22">
            <v>278425.33925907698</v>
          </cell>
          <cell r="AB22">
            <v>571382</v>
          </cell>
          <cell r="AC22">
            <v>6164</v>
          </cell>
          <cell r="AD22">
            <v>241195.71710757996</v>
          </cell>
        </row>
        <row r="25">
          <cell r="AC25">
            <v>6164</v>
          </cell>
        </row>
      </sheetData>
      <sheetData sheetId="11"/>
      <sheetData sheetId="12">
        <row r="22">
          <cell r="V22">
            <v>417324</v>
          </cell>
          <cell r="AE22">
            <v>2.2737367544323206E-12</v>
          </cell>
        </row>
        <row r="23">
          <cell r="X23">
            <v>174052.81662366018</v>
          </cell>
        </row>
      </sheetData>
      <sheetData sheetId="13"/>
      <sheetData sheetId="14">
        <row r="22">
          <cell r="M22">
            <v>279944.29643688002</v>
          </cell>
          <cell r="N22">
            <v>489406</v>
          </cell>
          <cell r="O22">
            <v>1505.2272983899852</v>
          </cell>
          <cell r="Q22">
            <v>2780.4072983899928</v>
          </cell>
          <cell r="U22">
            <v>259457.24729838999</v>
          </cell>
        </row>
      </sheetData>
      <sheetData sheetId="15"/>
      <sheetData sheetId="16">
        <row r="22">
          <cell r="U22">
            <v>256985</v>
          </cell>
        </row>
      </sheetData>
      <sheetData sheetId="17"/>
      <sheetData sheetId="18">
        <row r="22">
          <cell r="H22">
            <v>253861</v>
          </cell>
          <cell r="J22">
            <v>272496.86000000004</v>
          </cell>
          <cell r="K22">
            <v>475254</v>
          </cell>
          <cell r="L22">
            <v>1275.1800000000071</v>
          </cell>
        </row>
        <row r="23">
          <cell r="K23">
            <v>204032.31783499484</v>
          </cell>
        </row>
      </sheetData>
      <sheetData sheetId="19"/>
      <sheetData sheetId="20">
        <row r="22">
          <cell r="C22">
            <v>3836406</v>
          </cell>
          <cell r="D22">
            <v>266139</v>
          </cell>
          <cell r="E22">
            <v>432452</v>
          </cell>
          <cell r="F22">
            <v>18272</v>
          </cell>
          <cell r="I22">
            <v>18272</v>
          </cell>
        </row>
        <row r="23">
          <cell r="E23">
            <v>184585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3203E-B286-44E7-8F9E-442374A094E7}">
  <dimension ref="A1:DO72"/>
  <sheetViews>
    <sheetView workbookViewId="0">
      <selection activeCell="BY16" sqref="BY16"/>
    </sheetView>
  </sheetViews>
  <sheetFormatPr defaultRowHeight="12.75" x14ac:dyDescent="0.2"/>
  <cols>
    <col min="1" max="1" width="4.42578125" style="13" customWidth="1"/>
    <col min="2" max="2" width="35.140625" style="8" customWidth="1"/>
    <col min="3" max="3" width="11.28515625" style="9" bestFit="1" customWidth="1"/>
    <col min="4" max="4" width="9.85546875" style="10" hidden="1" customWidth="1"/>
    <col min="5" max="5" width="10.42578125" style="11" hidden="1" customWidth="1"/>
    <col min="6" max="6" width="10.28515625" style="10" hidden="1" customWidth="1"/>
    <col min="7" max="7" width="10.140625" style="10" hidden="1" customWidth="1"/>
    <col min="8" max="8" width="9.85546875" style="12" hidden="1" customWidth="1"/>
    <col min="9" max="9" width="9.42578125" style="12" hidden="1" customWidth="1"/>
    <col min="10" max="10" width="12.42578125" style="9" hidden="1" customWidth="1"/>
    <col min="11" max="11" width="11" style="12" hidden="1" customWidth="1"/>
    <col min="12" max="12" width="9.42578125" style="12" hidden="1" customWidth="1"/>
    <col min="13" max="13" width="11.28515625" style="12" hidden="1" customWidth="1"/>
    <col min="14" max="14" width="9.85546875" style="12" hidden="1" customWidth="1"/>
    <col min="15" max="15" width="11.140625" style="12" hidden="1" customWidth="1"/>
    <col min="16" max="16" width="10.140625" style="12" hidden="1" customWidth="1"/>
    <col min="17" max="17" width="11.140625" style="12" hidden="1" customWidth="1"/>
    <col min="18" max="19" width="11.28515625" style="8" bestFit="1" customWidth="1"/>
    <col min="20" max="20" width="10" style="8" hidden="1" customWidth="1"/>
    <col min="21" max="22" width="9.85546875" style="8" hidden="1" customWidth="1"/>
    <col min="23" max="23" width="11.140625" style="8" hidden="1" customWidth="1"/>
    <col min="24" max="24" width="12" style="8" hidden="1" customWidth="1"/>
    <col min="25" max="25" width="8.85546875" style="8" hidden="1" customWidth="1"/>
    <col min="26" max="26" width="10" style="8" hidden="1" customWidth="1"/>
    <col min="27" max="27" width="9.85546875" style="8" hidden="1" customWidth="1"/>
    <col min="28" max="28" width="10.28515625" style="8" hidden="1" customWidth="1"/>
    <col min="29" max="29" width="11.140625" style="8" hidden="1" customWidth="1"/>
    <col min="30" max="30" width="9.85546875" style="8" hidden="1" customWidth="1"/>
    <col min="31" max="31" width="11.5703125" style="8" hidden="1" customWidth="1"/>
    <col min="32" max="32" width="12" style="8" hidden="1" customWidth="1"/>
    <col min="33" max="33" width="11.42578125" style="8" hidden="1" customWidth="1"/>
    <col min="34" max="34" width="12" style="8" hidden="1" customWidth="1"/>
    <col min="35" max="35" width="9.85546875" style="8" hidden="1" customWidth="1"/>
    <col min="36" max="36" width="8.85546875" style="8" hidden="1" customWidth="1"/>
    <col min="37" max="37" width="11.85546875" style="8" hidden="1" customWidth="1"/>
    <col min="38" max="38" width="11.5703125" style="8" hidden="1" customWidth="1"/>
    <col min="39" max="39" width="11.42578125" style="8" hidden="1" customWidth="1"/>
    <col min="40" max="40" width="11.140625" style="8" hidden="1" customWidth="1"/>
    <col min="41" max="41" width="8.85546875" style="8" hidden="1" customWidth="1"/>
    <col min="42" max="43" width="9.85546875" style="8" hidden="1" customWidth="1"/>
    <col min="44" max="44" width="11.5703125" style="8" hidden="1" customWidth="1"/>
    <col min="45" max="45" width="10.42578125" style="8" hidden="1" customWidth="1"/>
    <col min="46" max="46" width="11.42578125" style="8" hidden="1" customWidth="1"/>
    <col min="47" max="47" width="8.85546875" style="8" hidden="1" customWidth="1"/>
    <col min="48" max="48" width="10.28515625" style="8" hidden="1" customWidth="1"/>
    <col min="49" max="49" width="8.85546875" style="8" hidden="1" customWidth="1"/>
    <col min="50" max="50" width="11.140625" style="8" hidden="1" customWidth="1"/>
    <col min="51" max="51" width="11" style="8" hidden="1" customWidth="1"/>
    <col min="52" max="52" width="10.28515625" style="8" hidden="1" customWidth="1"/>
    <col min="53" max="53" width="8.28515625" style="8" hidden="1" customWidth="1"/>
    <col min="54" max="54" width="10" style="8" bestFit="1" customWidth="1"/>
    <col min="55" max="56" width="9.85546875" style="8" hidden="1" customWidth="1"/>
    <col min="57" max="57" width="10.140625" style="8" hidden="1" customWidth="1"/>
    <col min="58" max="60" width="8.85546875" style="8" hidden="1" customWidth="1"/>
    <col min="61" max="61" width="9.85546875" style="8" hidden="1" customWidth="1"/>
    <col min="62" max="64" width="10.140625" style="8" customWidth="1"/>
    <col min="65" max="67" width="9.85546875" style="8" bestFit="1" customWidth="1"/>
    <col min="68" max="68" width="9.85546875" style="8" customWidth="1"/>
    <col min="69" max="69" width="8.85546875" style="8" hidden="1" customWidth="1"/>
    <col min="70" max="70" width="10" style="8" customWidth="1"/>
    <col min="71" max="71" width="11.42578125" style="8" customWidth="1"/>
    <col min="72" max="72" width="11.7109375" style="11" customWidth="1"/>
    <col min="73" max="73" width="11.28515625" style="10" bestFit="1" customWidth="1"/>
    <col min="74" max="74" width="8.85546875" style="13" bestFit="1" customWidth="1"/>
    <col min="75" max="256" width="9.140625" style="13"/>
    <col min="257" max="257" width="4.42578125" style="13" customWidth="1"/>
    <col min="258" max="258" width="35.140625" style="13" customWidth="1"/>
    <col min="259" max="259" width="11.28515625" style="13" bestFit="1" customWidth="1"/>
    <col min="260" max="273" width="0" style="13" hidden="1" customWidth="1"/>
    <col min="274" max="275" width="11.28515625" style="13" bestFit="1" customWidth="1"/>
    <col min="276" max="309" width="0" style="13" hidden="1" customWidth="1"/>
    <col min="310" max="310" width="10" style="13" bestFit="1" customWidth="1"/>
    <col min="311" max="317" width="0" style="13" hidden="1" customWidth="1"/>
    <col min="318" max="320" width="10.140625" style="13" customWidth="1"/>
    <col min="321" max="323" width="9.85546875" style="13" bestFit="1" customWidth="1"/>
    <col min="324" max="324" width="9.85546875" style="13" customWidth="1"/>
    <col min="325" max="325" width="0" style="13" hidden="1" customWidth="1"/>
    <col min="326" max="326" width="10" style="13" customWidth="1"/>
    <col min="327" max="327" width="11.42578125" style="13" customWidth="1"/>
    <col min="328" max="328" width="11.7109375" style="13" customWidth="1"/>
    <col min="329" max="329" width="11.28515625" style="13" bestFit="1" customWidth="1"/>
    <col min="330" max="330" width="8.85546875" style="13" bestFit="1" customWidth="1"/>
    <col min="331" max="512" width="9.140625" style="13"/>
    <col min="513" max="513" width="4.42578125" style="13" customWidth="1"/>
    <col min="514" max="514" width="35.140625" style="13" customWidth="1"/>
    <col min="515" max="515" width="11.28515625" style="13" bestFit="1" customWidth="1"/>
    <col min="516" max="529" width="0" style="13" hidden="1" customWidth="1"/>
    <col min="530" max="531" width="11.28515625" style="13" bestFit="1" customWidth="1"/>
    <col min="532" max="565" width="0" style="13" hidden="1" customWidth="1"/>
    <col min="566" max="566" width="10" style="13" bestFit="1" customWidth="1"/>
    <col min="567" max="573" width="0" style="13" hidden="1" customWidth="1"/>
    <col min="574" max="576" width="10.140625" style="13" customWidth="1"/>
    <col min="577" max="579" width="9.85546875" style="13" bestFit="1" customWidth="1"/>
    <col min="580" max="580" width="9.85546875" style="13" customWidth="1"/>
    <col min="581" max="581" width="0" style="13" hidden="1" customWidth="1"/>
    <col min="582" max="582" width="10" style="13" customWidth="1"/>
    <col min="583" max="583" width="11.42578125" style="13" customWidth="1"/>
    <col min="584" max="584" width="11.7109375" style="13" customWidth="1"/>
    <col min="585" max="585" width="11.28515625" style="13" bestFit="1" customWidth="1"/>
    <col min="586" max="586" width="8.85546875" style="13" bestFit="1" customWidth="1"/>
    <col min="587" max="768" width="9.140625" style="13"/>
    <col min="769" max="769" width="4.42578125" style="13" customWidth="1"/>
    <col min="770" max="770" width="35.140625" style="13" customWidth="1"/>
    <col min="771" max="771" width="11.28515625" style="13" bestFit="1" customWidth="1"/>
    <col min="772" max="785" width="0" style="13" hidden="1" customWidth="1"/>
    <col min="786" max="787" width="11.28515625" style="13" bestFit="1" customWidth="1"/>
    <col min="788" max="821" width="0" style="13" hidden="1" customWidth="1"/>
    <col min="822" max="822" width="10" style="13" bestFit="1" customWidth="1"/>
    <col min="823" max="829" width="0" style="13" hidden="1" customWidth="1"/>
    <col min="830" max="832" width="10.140625" style="13" customWidth="1"/>
    <col min="833" max="835" width="9.85546875" style="13" bestFit="1" customWidth="1"/>
    <col min="836" max="836" width="9.85546875" style="13" customWidth="1"/>
    <col min="837" max="837" width="0" style="13" hidden="1" customWidth="1"/>
    <col min="838" max="838" width="10" style="13" customWidth="1"/>
    <col min="839" max="839" width="11.42578125" style="13" customWidth="1"/>
    <col min="840" max="840" width="11.7109375" style="13" customWidth="1"/>
    <col min="841" max="841" width="11.28515625" style="13" bestFit="1" customWidth="1"/>
    <col min="842" max="842" width="8.85546875" style="13" bestFit="1" customWidth="1"/>
    <col min="843" max="1024" width="9.140625" style="13"/>
    <col min="1025" max="1025" width="4.42578125" style="13" customWidth="1"/>
    <col min="1026" max="1026" width="35.140625" style="13" customWidth="1"/>
    <col min="1027" max="1027" width="11.28515625" style="13" bestFit="1" customWidth="1"/>
    <col min="1028" max="1041" width="0" style="13" hidden="1" customWidth="1"/>
    <col min="1042" max="1043" width="11.28515625" style="13" bestFit="1" customWidth="1"/>
    <col min="1044" max="1077" width="0" style="13" hidden="1" customWidth="1"/>
    <col min="1078" max="1078" width="10" style="13" bestFit="1" customWidth="1"/>
    <col min="1079" max="1085" width="0" style="13" hidden="1" customWidth="1"/>
    <col min="1086" max="1088" width="10.140625" style="13" customWidth="1"/>
    <col min="1089" max="1091" width="9.85546875" style="13" bestFit="1" customWidth="1"/>
    <col min="1092" max="1092" width="9.85546875" style="13" customWidth="1"/>
    <col min="1093" max="1093" width="0" style="13" hidden="1" customWidth="1"/>
    <col min="1094" max="1094" width="10" style="13" customWidth="1"/>
    <col min="1095" max="1095" width="11.42578125" style="13" customWidth="1"/>
    <col min="1096" max="1096" width="11.7109375" style="13" customWidth="1"/>
    <col min="1097" max="1097" width="11.28515625" style="13" bestFit="1" customWidth="1"/>
    <col min="1098" max="1098" width="8.85546875" style="13" bestFit="1" customWidth="1"/>
    <col min="1099" max="1280" width="9.140625" style="13"/>
    <col min="1281" max="1281" width="4.42578125" style="13" customWidth="1"/>
    <col min="1282" max="1282" width="35.140625" style="13" customWidth="1"/>
    <col min="1283" max="1283" width="11.28515625" style="13" bestFit="1" customWidth="1"/>
    <col min="1284" max="1297" width="0" style="13" hidden="1" customWidth="1"/>
    <col min="1298" max="1299" width="11.28515625" style="13" bestFit="1" customWidth="1"/>
    <col min="1300" max="1333" width="0" style="13" hidden="1" customWidth="1"/>
    <col min="1334" max="1334" width="10" style="13" bestFit="1" customWidth="1"/>
    <col min="1335" max="1341" width="0" style="13" hidden="1" customWidth="1"/>
    <col min="1342" max="1344" width="10.140625" style="13" customWidth="1"/>
    <col min="1345" max="1347" width="9.85546875" style="13" bestFit="1" customWidth="1"/>
    <col min="1348" max="1348" width="9.85546875" style="13" customWidth="1"/>
    <col min="1349" max="1349" width="0" style="13" hidden="1" customWidth="1"/>
    <col min="1350" max="1350" width="10" style="13" customWidth="1"/>
    <col min="1351" max="1351" width="11.42578125" style="13" customWidth="1"/>
    <col min="1352" max="1352" width="11.7109375" style="13" customWidth="1"/>
    <col min="1353" max="1353" width="11.28515625" style="13" bestFit="1" customWidth="1"/>
    <col min="1354" max="1354" width="8.85546875" style="13" bestFit="1" customWidth="1"/>
    <col min="1355" max="1536" width="9.140625" style="13"/>
    <col min="1537" max="1537" width="4.42578125" style="13" customWidth="1"/>
    <col min="1538" max="1538" width="35.140625" style="13" customWidth="1"/>
    <col min="1539" max="1539" width="11.28515625" style="13" bestFit="1" customWidth="1"/>
    <col min="1540" max="1553" width="0" style="13" hidden="1" customWidth="1"/>
    <col min="1554" max="1555" width="11.28515625" style="13" bestFit="1" customWidth="1"/>
    <col min="1556" max="1589" width="0" style="13" hidden="1" customWidth="1"/>
    <col min="1590" max="1590" width="10" style="13" bestFit="1" customWidth="1"/>
    <col min="1591" max="1597" width="0" style="13" hidden="1" customWidth="1"/>
    <col min="1598" max="1600" width="10.140625" style="13" customWidth="1"/>
    <col min="1601" max="1603" width="9.85546875" style="13" bestFit="1" customWidth="1"/>
    <col min="1604" max="1604" width="9.85546875" style="13" customWidth="1"/>
    <col min="1605" max="1605" width="0" style="13" hidden="1" customWidth="1"/>
    <col min="1606" max="1606" width="10" style="13" customWidth="1"/>
    <col min="1607" max="1607" width="11.42578125" style="13" customWidth="1"/>
    <col min="1608" max="1608" width="11.7109375" style="13" customWidth="1"/>
    <col min="1609" max="1609" width="11.28515625" style="13" bestFit="1" customWidth="1"/>
    <col min="1610" max="1610" width="8.85546875" style="13" bestFit="1" customWidth="1"/>
    <col min="1611" max="1792" width="9.140625" style="13"/>
    <col min="1793" max="1793" width="4.42578125" style="13" customWidth="1"/>
    <col min="1794" max="1794" width="35.140625" style="13" customWidth="1"/>
    <col min="1795" max="1795" width="11.28515625" style="13" bestFit="1" customWidth="1"/>
    <col min="1796" max="1809" width="0" style="13" hidden="1" customWidth="1"/>
    <col min="1810" max="1811" width="11.28515625" style="13" bestFit="1" customWidth="1"/>
    <col min="1812" max="1845" width="0" style="13" hidden="1" customWidth="1"/>
    <col min="1846" max="1846" width="10" style="13" bestFit="1" customWidth="1"/>
    <col min="1847" max="1853" width="0" style="13" hidden="1" customWidth="1"/>
    <col min="1854" max="1856" width="10.140625" style="13" customWidth="1"/>
    <col min="1857" max="1859" width="9.85546875" style="13" bestFit="1" customWidth="1"/>
    <col min="1860" max="1860" width="9.85546875" style="13" customWidth="1"/>
    <col min="1861" max="1861" width="0" style="13" hidden="1" customWidth="1"/>
    <col min="1862" max="1862" width="10" style="13" customWidth="1"/>
    <col min="1863" max="1863" width="11.42578125" style="13" customWidth="1"/>
    <col min="1864" max="1864" width="11.7109375" style="13" customWidth="1"/>
    <col min="1865" max="1865" width="11.28515625" style="13" bestFit="1" customWidth="1"/>
    <col min="1866" max="1866" width="8.85546875" style="13" bestFit="1" customWidth="1"/>
    <col min="1867" max="2048" width="9.140625" style="13"/>
    <col min="2049" max="2049" width="4.42578125" style="13" customWidth="1"/>
    <col min="2050" max="2050" width="35.140625" style="13" customWidth="1"/>
    <col min="2051" max="2051" width="11.28515625" style="13" bestFit="1" customWidth="1"/>
    <col min="2052" max="2065" width="0" style="13" hidden="1" customWidth="1"/>
    <col min="2066" max="2067" width="11.28515625" style="13" bestFit="1" customWidth="1"/>
    <col min="2068" max="2101" width="0" style="13" hidden="1" customWidth="1"/>
    <col min="2102" max="2102" width="10" style="13" bestFit="1" customWidth="1"/>
    <col min="2103" max="2109" width="0" style="13" hidden="1" customWidth="1"/>
    <col min="2110" max="2112" width="10.140625" style="13" customWidth="1"/>
    <col min="2113" max="2115" width="9.85546875" style="13" bestFit="1" customWidth="1"/>
    <col min="2116" max="2116" width="9.85546875" style="13" customWidth="1"/>
    <col min="2117" max="2117" width="0" style="13" hidden="1" customWidth="1"/>
    <col min="2118" max="2118" width="10" style="13" customWidth="1"/>
    <col min="2119" max="2119" width="11.42578125" style="13" customWidth="1"/>
    <col min="2120" max="2120" width="11.7109375" style="13" customWidth="1"/>
    <col min="2121" max="2121" width="11.28515625" style="13" bestFit="1" customWidth="1"/>
    <col min="2122" max="2122" width="8.85546875" style="13" bestFit="1" customWidth="1"/>
    <col min="2123" max="2304" width="9.140625" style="13"/>
    <col min="2305" max="2305" width="4.42578125" style="13" customWidth="1"/>
    <col min="2306" max="2306" width="35.140625" style="13" customWidth="1"/>
    <col min="2307" max="2307" width="11.28515625" style="13" bestFit="1" customWidth="1"/>
    <col min="2308" max="2321" width="0" style="13" hidden="1" customWidth="1"/>
    <col min="2322" max="2323" width="11.28515625" style="13" bestFit="1" customWidth="1"/>
    <col min="2324" max="2357" width="0" style="13" hidden="1" customWidth="1"/>
    <col min="2358" max="2358" width="10" style="13" bestFit="1" customWidth="1"/>
    <col min="2359" max="2365" width="0" style="13" hidden="1" customWidth="1"/>
    <col min="2366" max="2368" width="10.140625" style="13" customWidth="1"/>
    <col min="2369" max="2371" width="9.85546875" style="13" bestFit="1" customWidth="1"/>
    <col min="2372" max="2372" width="9.85546875" style="13" customWidth="1"/>
    <col min="2373" max="2373" width="0" style="13" hidden="1" customWidth="1"/>
    <col min="2374" max="2374" width="10" style="13" customWidth="1"/>
    <col min="2375" max="2375" width="11.42578125" style="13" customWidth="1"/>
    <col min="2376" max="2376" width="11.7109375" style="13" customWidth="1"/>
    <col min="2377" max="2377" width="11.28515625" style="13" bestFit="1" customWidth="1"/>
    <col min="2378" max="2378" width="8.85546875" style="13" bestFit="1" customWidth="1"/>
    <col min="2379" max="2560" width="9.140625" style="13"/>
    <col min="2561" max="2561" width="4.42578125" style="13" customWidth="1"/>
    <col min="2562" max="2562" width="35.140625" style="13" customWidth="1"/>
    <col min="2563" max="2563" width="11.28515625" style="13" bestFit="1" customWidth="1"/>
    <col min="2564" max="2577" width="0" style="13" hidden="1" customWidth="1"/>
    <col min="2578" max="2579" width="11.28515625" style="13" bestFit="1" customWidth="1"/>
    <col min="2580" max="2613" width="0" style="13" hidden="1" customWidth="1"/>
    <col min="2614" max="2614" width="10" style="13" bestFit="1" customWidth="1"/>
    <col min="2615" max="2621" width="0" style="13" hidden="1" customWidth="1"/>
    <col min="2622" max="2624" width="10.140625" style="13" customWidth="1"/>
    <col min="2625" max="2627" width="9.85546875" style="13" bestFit="1" customWidth="1"/>
    <col min="2628" max="2628" width="9.85546875" style="13" customWidth="1"/>
    <col min="2629" max="2629" width="0" style="13" hidden="1" customWidth="1"/>
    <col min="2630" max="2630" width="10" style="13" customWidth="1"/>
    <col min="2631" max="2631" width="11.42578125" style="13" customWidth="1"/>
    <col min="2632" max="2632" width="11.7109375" style="13" customWidth="1"/>
    <col min="2633" max="2633" width="11.28515625" style="13" bestFit="1" customWidth="1"/>
    <col min="2634" max="2634" width="8.85546875" style="13" bestFit="1" customWidth="1"/>
    <col min="2635" max="2816" width="9.140625" style="13"/>
    <col min="2817" max="2817" width="4.42578125" style="13" customWidth="1"/>
    <col min="2818" max="2818" width="35.140625" style="13" customWidth="1"/>
    <col min="2819" max="2819" width="11.28515625" style="13" bestFit="1" customWidth="1"/>
    <col min="2820" max="2833" width="0" style="13" hidden="1" customWidth="1"/>
    <col min="2834" max="2835" width="11.28515625" style="13" bestFit="1" customWidth="1"/>
    <col min="2836" max="2869" width="0" style="13" hidden="1" customWidth="1"/>
    <col min="2870" max="2870" width="10" style="13" bestFit="1" customWidth="1"/>
    <col min="2871" max="2877" width="0" style="13" hidden="1" customWidth="1"/>
    <col min="2878" max="2880" width="10.140625" style="13" customWidth="1"/>
    <col min="2881" max="2883" width="9.85546875" style="13" bestFit="1" customWidth="1"/>
    <col min="2884" max="2884" width="9.85546875" style="13" customWidth="1"/>
    <col min="2885" max="2885" width="0" style="13" hidden="1" customWidth="1"/>
    <col min="2886" max="2886" width="10" style="13" customWidth="1"/>
    <col min="2887" max="2887" width="11.42578125" style="13" customWidth="1"/>
    <col min="2888" max="2888" width="11.7109375" style="13" customWidth="1"/>
    <col min="2889" max="2889" width="11.28515625" style="13" bestFit="1" customWidth="1"/>
    <col min="2890" max="2890" width="8.85546875" style="13" bestFit="1" customWidth="1"/>
    <col min="2891" max="3072" width="9.140625" style="13"/>
    <col min="3073" max="3073" width="4.42578125" style="13" customWidth="1"/>
    <col min="3074" max="3074" width="35.140625" style="13" customWidth="1"/>
    <col min="3075" max="3075" width="11.28515625" style="13" bestFit="1" customWidth="1"/>
    <col min="3076" max="3089" width="0" style="13" hidden="1" customWidth="1"/>
    <col min="3090" max="3091" width="11.28515625" style="13" bestFit="1" customWidth="1"/>
    <col min="3092" max="3125" width="0" style="13" hidden="1" customWidth="1"/>
    <col min="3126" max="3126" width="10" style="13" bestFit="1" customWidth="1"/>
    <col min="3127" max="3133" width="0" style="13" hidden="1" customWidth="1"/>
    <col min="3134" max="3136" width="10.140625" style="13" customWidth="1"/>
    <col min="3137" max="3139" width="9.85546875" style="13" bestFit="1" customWidth="1"/>
    <col min="3140" max="3140" width="9.85546875" style="13" customWidth="1"/>
    <col min="3141" max="3141" width="0" style="13" hidden="1" customWidth="1"/>
    <col min="3142" max="3142" width="10" style="13" customWidth="1"/>
    <col min="3143" max="3143" width="11.42578125" style="13" customWidth="1"/>
    <col min="3144" max="3144" width="11.7109375" style="13" customWidth="1"/>
    <col min="3145" max="3145" width="11.28515625" style="13" bestFit="1" customWidth="1"/>
    <col min="3146" max="3146" width="8.85546875" style="13" bestFit="1" customWidth="1"/>
    <col min="3147" max="3328" width="9.140625" style="13"/>
    <col min="3329" max="3329" width="4.42578125" style="13" customWidth="1"/>
    <col min="3330" max="3330" width="35.140625" style="13" customWidth="1"/>
    <col min="3331" max="3331" width="11.28515625" style="13" bestFit="1" customWidth="1"/>
    <col min="3332" max="3345" width="0" style="13" hidden="1" customWidth="1"/>
    <col min="3346" max="3347" width="11.28515625" style="13" bestFit="1" customWidth="1"/>
    <col min="3348" max="3381" width="0" style="13" hidden="1" customWidth="1"/>
    <col min="3382" max="3382" width="10" style="13" bestFit="1" customWidth="1"/>
    <col min="3383" max="3389" width="0" style="13" hidden="1" customWidth="1"/>
    <col min="3390" max="3392" width="10.140625" style="13" customWidth="1"/>
    <col min="3393" max="3395" width="9.85546875" style="13" bestFit="1" customWidth="1"/>
    <col min="3396" max="3396" width="9.85546875" style="13" customWidth="1"/>
    <col min="3397" max="3397" width="0" style="13" hidden="1" customWidth="1"/>
    <col min="3398" max="3398" width="10" style="13" customWidth="1"/>
    <col min="3399" max="3399" width="11.42578125" style="13" customWidth="1"/>
    <col min="3400" max="3400" width="11.7109375" style="13" customWidth="1"/>
    <col min="3401" max="3401" width="11.28515625" style="13" bestFit="1" customWidth="1"/>
    <col min="3402" max="3402" width="8.85546875" style="13" bestFit="1" customWidth="1"/>
    <col min="3403" max="3584" width="9.140625" style="13"/>
    <col min="3585" max="3585" width="4.42578125" style="13" customWidth="1"/>
    <col min="3586" max="3586" width="35.140625" style="13" customWidth="1"/>
    <col min="3587" max="3587" width="11.28515625" style="13" bestFit="1" customWidth="1"/>
    <col min="3588" max="3601" width="0" style="13" hidden="1" customWidth="1"/>
    <col min="3602" max="3603" width="11.28515625" style="13" bestFit="1" customWidth="1"/>
    <col min="3604" max="3637" width="0" style="13" hidden="1" customWidth="1"/>
    <col min="3638" max="3638" width="10" style="13" bestFit="1" customWidth="1"/>
    <col min="3639" max="3645" width="0" style="13" hidden="1" customWidth="1"/>
    <col min="3646" max="3648" width="10.140625" style="13" customWidth="1"/>
    <col min="3649" max="3651" width="9.85546875" style="13" bestFit="1" customWidth="1"/>
    <col min="3652" max="3652" width="9.85546875" style="13" customWidth="1"/>
    <col min="3653" max="3653" width="0" style="13" hidden="1" customWidth="1"/>
    <col min="3654" max="3654" width="10" style="13" customWidth="1"/>
    <col min="3655" max="3655" width="11.42578125" style="13" customWidth="1"/>
    <col min="3656" max="3656" width="11.7109375" style="13" customWidth="1"/>
    <col min="3657" max="3657" width="11.28515625" style="13" bestFit="1" customWidth="1"/>
    <col min="3658" max="3658" width="8.85546875" style="13" bestFit="1" customWidth="1"/>
    <col min="3659" max="3840" width="9.140625" style="13"/>
    <col min="3841" max="3841" width="4.42578125" style="13" customWidth="1"/>
    <col min="3842" max="3842" width="35.140625" style="13" customWidth="1"/>
    <col min="3843" max="3843" width="11.28515625" style="13" bestFit="1" customWidth="1"/>
    <col min="3844" max="3857" width="0" style="13" hidden="1" customWidth="1"/>
    <col min="3858" max="3859" width="11.28515625" style="13" bestFit="1" customWidth="1"/>
    <col min="3860" max="3893" width="0" style="13" hidden="1" customWidth="1"/>
    <col min="3894" max="3894" width="10" style="13" bestFit="1" customWidth="1"/>
    <col min="3895" max="3901" width="0" style="13" hidden="1" customWidth="1"/>
    <col min="3902" max="3904" width="10.140625" style="13" customWidth="1"/>
    <col min="3905" max="3907" width="9.85546875" style="13" bestFit="1" customWidth="1"/>
    <col min="3908" max="3908" width="9.85546875" style="13" customWidth="1"/>
    <col min="3909" max="3909" width="0" style="13" hidden="1" customWidth="1"/>
    <col min="3910" max="3910" width="10" style="13" customWidth="1"/>
    <col min="3911" max="3911" width="11.42578125" style="13" customWidth="1"/>
    <col min="3912" max="3912" width="11.7109375" style="13" customWidth="1"/>
    <col min="3913" max="3913" width="11.28515625" style="13" bestFit="1" customWidth="1"/>
    <col min="3914" max="3914" width="8.85546875" style="13" bestFit="1" customWidth="1"/>
    <col min="3915" max="4096" width="9.140625" style="13"/>
    <col min="4097" max="4097" width="4.42578125" style="13" customWidth="1"/>
    <col min="4098" max="4098" width="35.140625" style="13" customWidth="1"/>
    <col min="4099" max="4099" width="11.28515625" style="13" bestFit="1" customWidth="1"/>
    <col min="4100" max="4113" width="0" style="13" hidden="1" customWidth="1"/>
    <col min="4114" max="4115" width="11.28515625" style="13" bestFit="1" customWidth="1"/>
    <col min="4116" max="4149" width="0" style="13" hidden="1" customWidth="1"/>
    <col min="4150" max="4150" width="10" style="13" bestFit="1" customWidth="1"/>
    <col min="4151" max="4157" width="0" style="13" hidden="1" customWidth="1"/>
    <col min="4158" max="4160" width="10.140625" style="13" customWidth="1"/>
    <col min="4161" max="4163" width="9.85546875" style="13" bestFit="1" customWidth="1"/>
    <col min="4164" max="4164" width="9.85546875" style="13" customWidth="1"/>
    <col min="4165" max="4165" width="0" style="13" hidden="1" customWidth="1"/>
    <col min="4166" max="4166" width="10" style="13" customWidth="1"/>
    <col min="4167" max="4167" width="11.42578125" style="13" customWidth="1"/>
    <col min="4168" max="4168" width="11.7109375" style="13" customWidth="1"/>
    <col min="4169" max="4169" width="11.28515625" style="13" bestFit="1" customWidth="1"/>
    <col min="4170" max="4170" width="8.85546875" style="13" bestFit="1" customWidth="1"/>
    <col min="4171" max="4352" width="9.140625" style="13"/>
    <col min="4353" max="4353" width="4.42578125" style="13" customWidth="1"/>
    <col min="4354" max="4354" width="35.140625" style="13" customWidth="1"/>
    <col min="4355" max="4355" width="11.28515625" style="13" bestFit="1" customWidth="1"/>
    <col min="4356" max="4369" width="0" style="13" hidden="1" customWidth="1"/>
    <col min="4370" max="4371" width="11.28515625" style="13" bestFit="1" customWidth="1"/>
    <col min="4372" max="4405" width="0" style="13" hidden="1" customWidth="1"/>
    <col min="4406" max="4406" width="10" style="13" bestFit="1" customWidth="1"/>
    <col min="4407" max="4413" width="0" style="13" hidden="1" customWidth="1"/>
    <col min="4414" max="4416" width="10.140625" style="13" customWidth="1"/>
    <col min="4417" max="4419" width="9.85546875" style="13" bestFit="1" customWidth="1"/>
    <col min="4420" max="4420" width="9.85546875" style="13" customWidth="1"/>
    <col min="4421" max="4421" width="0" style="13" hidden="1" customWidth="1"/>
    <col min="4422" max="4422" width="10" style="13" customWidth="1"/>
    <col min="4423" max="4423" width="11.42578125" style="13" customWidth="1"/>
    <col min="4424" max="4424" width="11.7109375" style="13" customWidth="1"/>
    <col min="4425" max="4425" width="11.28515625" style="13" bestFit="1" customWidth="1"/>
    <col min="4426" max="4426" width="8.85546875" style="13" bestFit="1" customWidth="1"/>
    <col min="4427" max="4608" width="9.140625" style="13"/>
    <col min="4609" max="4609" width="4.42578125" style="13" customWidth="1"/>
    <col min="4610" max="4610" width="35.140625" style="13" customWidth="1"/>
    <col min="4611" max="4611" width="11.28515625" style="13" bestFit="1" customWidth="1"/>
    <col min="4612" max="4625" width="0" style="13" hidden="1" customWidth="1"/>
    <col min="4626" max="4627" width="11.28515625" style="13" bestFit="1" customWidth="1"/>
    <col min="4628" max="4661" width="0" style="13" hidden="1" customWidth="1"/>
    <col min="4662" max="4662" width="10" style="13" bestFit="1" customWidth="1"/>
    <col min="4663" max="4669" width="0" style="13" hidden="1" customWidth="1"/>
    <col min="4670" max="4672" width="10.140625" style="13" customWidth="1"/>
    <col min="4673" max="4675" width="9.85546875" style="13" bestFit="1" customWidth="1"/>
    <col min="4676" max="4676" width="9.85546875" style="13" customWidth="1"/>
    <col min="4677" max="4677" width="0" style="13" hidden="1" customWidth="1"/>
    <col min="4678" max="4678" width="10" style="13" customWidth="1"/>
    <col min="4679" max="4679" width="11.42578125" style="13" customWidth="1"/>
    <col min="4680" max="4680" width="11.7109375" style="13" customWidth="1"/>
    <col min="4681" max="4681" width="11.28515625" style="13" bestFit="1" customWidth="1"/>
    <col min="4682" max="4682" width="8.85546875" style="13" bestFit="1" customWidth="1"/>
    <col min="4683" max="4864" width="9.140625" style="13"/>
    <col min="4865" max="4865" width="4.42578125" style="13" customWidth="1"/>
    <col min="4866" max="4866" width="35.140625" style="13" customWidth="1"/>
    <col min="4867" max="4867" width="11.28515625" style="13" bestFit="1" customWidth="1"/>
    <col min="4868" max="4881" width="0" style="13" hidden="1" customWidth="1"/>
    <col min="4882" max="4883" width="11.28515625" style="13" bestFit="1" customWidth="1"/>
    <col min="4884" max="4917" width="0" style="13" hidden="1" customWidth="1"/>
    <col min="4918" max="4918" width="10" style="13" bestFit="1" customWidth="1"/>
    <col min="4919" max="4925" width="0" style="13" hidden="1" customWidth="1"/>
    <col min="4926" max="4928" width="10.140625" style="13" customWidth="1"/>
    <col min="4929" max="4931" width="9.85546875" style="13" bestFit="1" customWidth="1"/>
    <col min="4932" max="4932" width="9.85546875" style="13" customWidth="1"/>
    <col min="4933" max="4933" width="0" style="13" hidden="1" customWidth="1"/>
    <col min="4934" max="4934" width="10" style="13" customWidth="1"/>
    <col min="4935" max="4935" width="11.42578125" style="13" customWidth="1"/>
    <col min="4936" max="4936" width="11.7109375" style="13" customWidth="1"/>
    <col min="4937" max="4937" width="11.28515625" style="13" bestFit="1" customWidth="1"/>
    <col min="4938" max="4938" width="8.85546875" style="13" bestFit="1" customWidth="1"/>
    <col min="4939" max="5120" width="9.140625" style="13"/>
    <col min="5121" max="5121" width="4.42578125" style="13" customWidth="1"/>
    <col min="5122" max="5122" width="35.140625" style="13" customWidth="1"/>
    <col min="5123" max="5123" width="11.28515625" style="13" bestFit="1" customWidth="1"/>
    <col min="5124" max="5137" width="0" style="13" hidden="1" customWidth="1"/>
    <col min="5138" max="5139" width="11.28515625" style="13" bestFit="1" customWidth="1"/>
    <col min="5140" max="5173" width="0" style="13" hidden="1" customWidth="1"/>
    <col min="5174" max="5174" width="10" style="13" bestFit="1" customWidth="1"/>
    <col min="5175" max="5181" width="0" style="13" hidden="1" customWidth="1"/>
    <col min="5182" max="5184" width="10.140625" style="13" customWidth="1"/>
    <col min="5185" max="5187" width="9.85546875" style="13" bestFit="1" customWidth="1"/>
    <col min="5188" max="5188" width="9.85546875" style="13" customWidth="1"/>
    <col min="5189" max="5189" width="0" style="13" hidden="1" customWidth="1"/>
    <col min="5190" max="5190" width="10" style="13" customWidth="1"/>
    <col min="5191" max="5191" width="11.42578125" style="13" customWidth="1"/>
    <col min="5192" max="5192" width="11.7109375" style="13" customWidth="1"/>
    <col min="5193" max="5193" width="11.28515625" style="13" bestFit="1" customWidth="1"/>
    <col min="5194" max="5194" width="8.85546875" style="13" bestFit="1" customWidth="1"/>
    <col min="5195" max="5376" width="9.140625" style="13"/>
    <col min="5377" max="5377" width="4.42578125" style="13" customWidth="1"/>
    <col min="5378" max="5378" width="35.140625" style="13" customWidth="1"/>
    <col min="5379" max="5379" width="11.28515625" style="13" bestFit="1" customWidth="1"/>
    <col min="5380" max="5393" width="0" style="13" hidden="1" customWidth="1"/>
    <col min="5394" max="5395" width="11.28515625" style="13" bestFit="1" customWidth="1"/>
    <col min="5396" max="5429" width="0" style="13" hidden="1" customWidth="1"/>
    <col min="5430" max="5430" width="10" style="13" bestFit="1" customWidth="1"/>
    <col min="5431" max="5437" width="0" style="13" hidden="1" customWidth="1"/>
    <col min="5438" max="5440" width="10.140625" style="13" customWidth="1"/>
    <col min="5441" max="5443" width="9.85546875" style="13" bestFit="1" customWidth="1"/>
    <col min="5444" max="5444" width="9.85546875" style="13" customWidth="1"/>
    <col min="5445" max="5445" width="0" style="13" hidden="1" customWidth="1"/>
    <col min="5446" max="5446" width="10" style="13" customWidth="1"/>
    <col min="5447" max="5447" width="11.42578125" style="13" customWidth="1"/>
    <col min="5448" max="5448" width="11.7109375" style="13" customWidth="1"/>
    <col min="5449" max="5449" width="11.28515625" style="13" bestFit="1" customWidth="1"/>
    <col min="5450" max="5450" width="8.85546875" style="13" bestFit="1" customWidth="1"/>
    <col min="5451" max="5632" width="9.140625" style="13"/>
    <col min="5633" max="5633" width="4.42578125" style="13" customWidth="1"/>
    <col min="5634" max="5634" width="35.140625" style="13" customWidth="1"/>
    <col min="5635" max="5635" width="11.28515625" style="13" bestFit="1" customWidth="1"/>
    <col min="5636" max="5649" width="0" style="13" hidden="1" customWidth="1"/>
    <col min="5650" max="5651" width="11.28515625" style="13" bestFit="1" customWidth="1"/>
    <col min="5652" max="5685" width="0" style="13" hidden="1" customWidth="1"/>
    <col min="5686" max="5686" width="10" style="13" bestFit="1" customWidth="1"/>
    <col min="5687" max="5693" width="0" style="13" hidden="1" customWidth="1"/>
    <col min="5694" max="5696" width="10.140625" style="13" customWidth="1"/>
    <col min="5697" max="5699" width="9.85546875" style="13" bestFit="1" customWidth="1"/>
    <col min="5700" max="5700" width="9.85546875" style="13" customWidth="1"/>
    <col min="5701" max="5701" width="0" style="13" hidden="1" customWidth="1"/>
    <col min="5702" max="5702" width="10" style="13" customWidth="1"/>
    <col min="5703" max="5703" width="11.42578125" style="13" customWidth="1"/>
    <col min="5704" max="5704" width="11.7109375" style="13" customWidth="1"/>
    <col min="5705" max="5705" width="11.28515625" style="13" bestFit="1" customWidth="1"/>
    <col min="5706" max="5706" width="8.85546875" style="13" bestFit="1" customWidth="1"/>
    <col min="5707" max="5888" width="9.140625" style="13"/>
    <col min="5889" max="5889" width="4.42578125" style="13" customWidth="1"/>
    <col min="5890" max="5890" width="35.140625" style="13" customWidth="1"/>
    <col min="5891" max="5891" width="11.28515625" style="13" bestFit="1" customWidth="1"/>
    <col min="5892" max="5905" width="0" style="13" hidden="1" customWidth="1"/>
    <col min="5906" max="5907" width="11.28515625" style="13" bestFit="1" customWidth="1"/>
    <col min="5908" max="5941" width="0" style="13" hidden="1" customWidth="1"/>
    <col min="5942" max="5942" width="10" style="13" bestFit="1" customWidth="1"/>
    <col min="5943" max="5949" width="0" style="13" hidden="1" customWidth="1"/>
    <col min="5950" max="5952" width="10.140625" style="13" customWidth="1"/>
    <col min="5953" max="5955" width="9.85546875" style="13" bestFit="1" customWidth="1"/>
    <col min="5956" max="5956" width="9.85546875" style="13" customWidth="1"/>
    <col min="5957" max="5957" width="0" style="13" hidden="1" customWidth="1"/>
    <col min="5958" max="5958" width="10" style="13" customWidth="1"/>
    <col min="5959" max="5959" width="11.42578125" style="13" customWidth="1"/>
    <col min="5960" max="5960" width="11.7109375" style="13" customWidth="1"/>
    <col min="5961" max="5961" width="11.28515625" style="13" bestFit="1" customWidth="1"/>
    <col min="5962" max="5962" width="8.85546875" style="13" bestFit="1" customWidth="1"/>
    <col min="5963" max="6144" width="9.140625" style="13"/>
    <col min="6145" max="6145" width="4.42578125" style="13" customWidth="1"/>
    <col min="6146" max="6146" width="35.140625" style="13" customWidth="1"/>
    <col min="6147" max="6147" width="11.28515625" style="13" bestFit="1" customWidth="1"/>
    <col min="6148" max="6161" width="0" style="13" hidden="1" customWidth="1"/>
    <col min="6162" max="6163" width="11.28515625" style="13" bestFit="1" customWidth="1"/>
    <col min="6164" max="6197" width="0" style="13" hidden="1" customWidth="1"/>
    <col min="6198" max="6198" width="10" style="13" bestFit="1" customWidth="1"/>
    <col min="6199" max="6205" width="0" style="13" hidden="1" customWidth="1"/>
    <col min="6206" max="6208" width="10.140625" style="13" customWidth="1"/>
    <col min="6209" max="6211" width="9.85546875" style="13" bestFit="1" customWidth="1"/>
    <col min="6212" max="6212" width="9.85546875" style="13" customWidth="1"/>
    <col min="6213" max="6213" width="0" style="13" hidden="1" customWidth="1"/>
    <col min="6214" max="6214" width="10" style="13" customWidth="1"/>
    <col min="6215" max="6215" width="11.42578125" style="13" customWidth="1"/>
    <col min="6216" max="6216" width="11.7109375" style="13" customWidth="1"/>
    <col min="6217" max="6217" width="11.28515625" style="13" bestFit="1" customWidth="1"/>
    <col min="6218" max="6218" width="8.85546875" style="13" bestFit="1" customWidth="1"/>
    <col min="6219" max="6400" width="9.140625" style="13"/>
    <col min="6401" max="6401" width="4.42578125" style="13" customWidth="1"/>
    <col min="6402" max="6402" width="35.140625" style="13" customWidth="1"/>
    <col min="6403" max="6403" width="11.28515625" style="13" bestFit="1" customWidth="1"/>
    <col min="6404" max="6417" width="0" style="13" hidden="1" customWidth="1"/>
    <col min="6418" max="6419" width="11.28515625" style="13" bestFit="1" customWidth="1"/>
    <col min="6420" max="6453" width="0" style="13" hidden="1" customWidth="1"/>
    <col min="6454" max="6454" width="10" style="13" bestFit="1" customWidth="1"/>
    <col min="6455" max="6461" width="0" style="13" hidden="1" customWidth="1"/>
    <col min="6462" max="6464" width="10.140625" style="13" customWidth="1"/>
    <col min="6465" max="6467" width="9.85546875" style="13" bestFit="1" customWidth="1"/>
    <col min="6468" max="6468" width="9.85546875" style="13" customWidth="1"/>
    <col min="6469" max="6469" width="0" style="13" hidden="1" customWidth="1"/>
    <col min="6470" max="6470" width="10" style="13" customWidth="1"/>
    <col min="6471" max="6471" width="11.42578125" style="13" customWidth="1"/>
    <col min="6472" max="6472" width="11.7109375" style="13" customWidth="1"/>
    <col min="6473" max="6473" width="11.28515625" style="13" bestFit="1" customWidth="1"/>
    <col min="6474" max="6474" width="8.85546875" style="13" bestFit="1" customWidth="1"/>
    <col min="6475" max="6656" width="9.140625" style="13"/>
    <col min="6657" max="6657" width="4.42578125" style="13" customWidth="1"/>
    <col min="6658" max="6658" width="35.140625" style="13" customWidth="1"/>
    <col min="6659" max="6659" width="11.28515625" style="13" bestFit="1" customWidth="1"/>
    <col min="6660" max="6673" width="0" style="13" hidden="1" customWidth="1"/>
    <col min="6674" max="6675" width="11.28515625" style="13" bestFit="1" customWidth="1"/>
    <col min="6676" max="6709" width="0" style="13" hidden="1" customWidth="1"/>
    <col min="6710" max="6710" width="10" style="13" bestFit="1" customWidth="1"/>
    <col min="6711" max="6717" width="0" style="13" hidden="1" customWidth="1"/>
    <col min="6718" max="6720" width="10.140625" style="13" customWidth="1"/>
    <col min="6721" max="6723" width="9.85546875" style="13" bestFit="1" customWidth="1"/>
    <col min="6724" max="6724" width="9.85546875" style="13" customWidth="1"/>
    <col min="6725" max="6725" width="0" style="13" hidden="1" customWidth="1"/>
    <col min="6726" max="6726" width="10" style="13" customWidth="1"/>
    <col min="6727" max="6727" width="11.42578125" style="13" customWidth="1"/>
    <col min="6728" max="6728" width="11.7109375" style="13" customWidth="1"/>
    <col min="6729" max="6729" width="11.28515625" style="13" bestFit="1" customWidth="1"/>
    <col min="6730" max="6730" width="8.85546875" style="13" bestFit="1" customWidth="1"/>
    <col min="6731" max="6912" width="9.140625" style="13"/>
    <col min="6913" max="6913" width="4.42578125" style="13" customWidth="1"/>
    <col min="6914" max="6914" width="35.140625" style="13" customWidth="1"/>
    <col min="6915" max="6915" width="11.28515625" style="13" bestFit="1" customWidth="1"/>
    <col min="6916" max="6929" width="0" style="13" hidden="1" customWidth="1"/>
    <col min="6930" max="6931" width="11.28515625" style="13" bestFit="1" customWidth="1"/>
    <col min="6932" max="6965" width="0" style="13" hidden="1" customWidth="1"/>
    <col min="6966" max="6966" width="10" style="13" bestFit="1" customWidth="1"/>
    <col min="6967" max="6973" width="0" style="13" hidden="1" customWidth="1"/>
    <col min="6974" max="6976" width="10.140625" style="13" customWidth="1"/>
    <col min="6977" max="6979" width="9.85546875" style="13" bestFit="1" customWidth="1"/>
    <col min="6980" max="6980" width="9.85546875" style="13" customWidth="1"/>
    <col min="6981" max="6981" width="0" style="13" hidden="1" customWidth="1"/>
    <col min="6982" max="6982" width="10" style="13" customWidth="1"/>
    <col min="6983" max="6983" width="11.42578125" style="13" customWidth="1"/>
    <col min="6984" max="6984" width="11.7109375" style="13" customWidth="1"/>
    <col min="6985" max="6985" width="11.28515625" style="13" bestFit="1" customWidth="1"/>
    <col min="6986" max="6986" width="8.85546875" style="13" bestFit="1" customWidth="1"/>
    <col min="6987" max="7168" width="9.140625" style="13"/>
    <col min="7169" max="7169" width="4.42578125" style="13" customWidth="1"/>
    <col min="7170" max="7170" width="35.140625" style="13" customWidth="1"/>
    <col min="7171" max="7171" width="11.28515625" style="13" bestFit="1" customWidth="1"/>
    <col min="7172" max="7185" width="0" style="13" hidden="1" customWidth="1"/>
    <col min="7186" max="7187" width="11.28515625" style="13" bestFit="1" customWidth="1"/>
    <col min="7188" max="7221" width="0" style="13" hidden="1" customWidth="1"/>
    <col min="7222" max="7222" width="10" style="13" bestFit="1" customWidth="1"/>
    <col min="7223" max="7229" width="0" style="13" hidden="1" customWidth="1"/>
    <col min="7230" max="7232" width="10.140625" style="13" customWidth="1"/>
    <col min="7233" max="7235" width="9.85546875" style="13" bestFit="1" customWidth="1"/>
    <col min="7236" max="7236" width="9.85546875" style="13" customWidth="1"/>
    <col min="7237" max="7237" width="0" style="13" hidden="1" customWidth="1"/>
    <col min="7238" max="7238" width="10" style="13" customWidth="1"/>
    <col min="7239" max="7239" width="11.42578125" style="13" customWidth="1"/>
    <col min="7240" max="7240" width="11.7109375" style="13" customWidth="1"/>
    <col min="7241" max="7241" width="11.28515625" style="13" bestFit="1" customWidth="1"/>
    <col min="7242" max="7242" width="8.85546875" style="13" bestFit="1" customWidth="1"/>
    <col min="7243" max="7424" width="9.140625" style="13"/>
    <col min="7425" max="7425" width="4.42578125" style="13" customWidth="1"/>
    <col min="7426" max="7426" width="35.140625" style="13" customWidth="1"/>
    <col min="7427" max="7427" width="11.28515625" style="13" bestFit="1" customWidth="1"/>
    <col min="7428" max="7441" width="0" style="13" hidden="1" customWidth="1"/>
    <col min="7442" max="7443" width="11.28515625" style="13" bestFit="1" customWidth="1"/>
    <col min="7444" max="7477" width="0" style="13" hidden="1" customWidth="1"/>
    <col min="7478" max="7478" width="10" style="13" bestFit="1" customWidth="1"/>
    <col min="7479" max="7485" width="0" style="13" hidden="1" customWidth="1"/>
    <col min="7486" max="7488" width="10.140625" style="13" customWidth="1"/>
    <col min="7489" max="7491" width="9.85546875" style="13" bestFit="1" customWidth="1"/>
    <col min="7492" max="7492" width="9.85546875" style="13" customWidth="1"/>
    <col min="7493" max="7493" width="0" style="13" hidden="1" customWidth="1"/>
    <col min="7494" max="7494" width="10" style="13" customWidth="1"/>
    <col min="7495" max="7495" width="11.42578125" style="13" customWidth="1"/>
    <col min="7496" max="7496" width="11.7109375" style="13" customWidth="1"/>
    <col min="7497" max="7497" width="11.28515625" style="13" bestFit="1" customWidth="1"/>
    <col min="7498" max="7498" width="8.85546875" style="13" bestFit="1" customWidth="1"/>
    <col min="7499" max="7680" width="9.140625" style="13"/>
    <col min="7681" max="7681" width="4.42578125" style="13" customWidth="1"/>
    <col min="7682" max="7682" width="35.140625" style="13" customWidth="1"/>
    <col min="7683" max="7683" width="11.28515625" style="13" bestFit="1" customWidth="1"/>
    <col min="7684" max="7697" width="0" style="13" hidden="1" customWidth="1"/>
    <col min="7698" max="7699" width="11.28515625" style="13" bestFit="1" customWidth="1"/>
    <col min="7700" max="7733" width="0" style="13" hidden="1" customWidth="1"/>
    <col min="7734" max="7734" width="10" style="13" bestFit="1" customWidth="1"/>
    <col min="7735" max="7741" width="0" style="13" hidden="1" customWidth="1"/>
    <col min="7742" max="7744" width="10.140625" style="13" customWidth="1"/>
    <col min="7745" max="7747" width="9.85546875" style="13" bestFit="1" customWidth="1"/>
    <col min="7748" max="7748" width="9.85546875" style="13" customWidth="1"/>
    <col min="7749" max="7749" width="0" style="13" hidden="1" customWidth="1"/>
    <col min="7750" max="7750" width="10" style="13" customWidth="1"/>
    <col min="7751" max="7751" width="11.42578125" style="13" customWidth="1"/>
    <col min="7752" max="7752" width="11.7109375" style="13" customWidth="1"/>
    <col min="7753" max="7753" width="11.28515625" style="13" bestFit="1" customWidth="1"/>
    <col min="7754" max="7754" width="8.85546875" style="13" bestFit="1" customWidth="1"/>
    <col min="7755" max="7936" width="9.140625" style="13"/>
    <col min="7937" max="7937" width="4.42578125" style="13" customWidth="1"/>
    <col min="7938" max="7938" width="35.140625" style="13" customWidth="1"/>
    <col min="7939" max="7939" width="11.28515625" style="13" bestFit="1" customWidth="1"/>
    <col min="7940" max="7953" width="0" style="13" hidden="1" customWidth="1"/>
    <col min="7954" max="7955" width="11.28515625" style="13" bestFit="1" customWidth="1"/>
    <col min="7956" max="7989" width="0" style="13" hidden="1" customWidth="1"/>
    <col min="7990" max="7990" width="10" style="13" bestFit="1" customWidth="1"/>
    <col min="7991" max="7997" width="0" style="13" hidden="1" customWidth="1"/>
    <col min="7998" max="8000" width="10.140625" style="13" customWidth="1"/>
    <col min="8001" max="8003" width="9.85546875" style="13" bestFit="1" customWidth="1"/>
    <col min="8004" max="8004" width="9.85546875" style="13" customWidth="1"/>
    <col min="8005" max="8005" width="0" style="13" hidden="1" customWidth="1"/>
    <col min="8006" max="8006" width="10" style="13" customWidth="1"/>
    <col min="8007" max="8007" width="11.42578125" style="13" customWidth="1"/>
    <col min="8008" max="8008" width="11.7109375" style="13" customWidth="1"/>
    <col min="8009" max="8009" width="11.28515625" style="13" bestFit="1" customWidth="1"/>
    <col min="8010" max="8010" width="8.85546875" style="13" bestFit="1" customWidth="1"/>
    <col min="8011" max="8192" width="9.140625" style="13"/>
    <col min="8193" max="8193" width="4.42578125" style="13" customWidth="1"/>
    <col min="8194" max="8194" width="35.140625" style="13" customWidth="1"/>
    <col min="8195" max="8195" width="11.28515625" style="13" bestFit="1" customWidth="1"/>
    <col min="8196" max="8209" width="0" style="13" hidden="1" customWidth="1"/>
    <col min="8210" max="8211" width="11.28515625" style="13" bestFit="1" customWidth="1"/>
    <col min="8212" max="8245" width="0" style="13" hidden="1" customWidth="1"/>
    <col min="8246" max="8246" width="10" style="13" bestFit="1" customWidth="1"/>
    <col min="8247" max="8253" width="0" style="13" hidden="1" customWidth="1"/>
    <col min="8254" max="8256" width="10.140625" style="13" customWidth="1"/>
    <col min="8257" max="8259" width="9.85546875" style="13" bestFit="1" customWidth="1"/>
    <col min="8260" max="8260" width="9.85546875" style="13" customWidth="1"/>
    <col min="8261" max="8261" width="0" style="13" hidden="1" customWidth="1"/>
    <col min="8262" max="8262" width="10" style="13" customWidth="1"/>
    <col min="8263" max="8263" width="11.42578125" style="13" customWidth="1"/>
    <col min="8264" max="8264" width="11.7109375" style="13" customWidth="1"/>
    <col min="8265" max="8265" width="11.28515625" style="13" bestFit="1" customWidth="1"/>
    <col min="8266" max="8266" width="8.85546875" style="13" bestFit="1" customWidth="1"/>
    <col min="8267" max="8448" width="9.140625" style="13"/>
    <col min="8449" max="8449" width="4.42578125" style="13" customWidth="1"/>
    <col min="8450" max="8450" width="35.140625" style="13" customWidth="1"/>
    <col min="8451" max="8451" width="11.28515625" style="13" bestFit="1" customWidth="1"/>
    <col min="8452" max="8465" width="0" style="13" hidden="1" customWidth="1"/>
    <col min="8466" max="8467" width="11.28515625" style="13" bestFit="1" customWidth="1"/>
    <col min="8468" max="8501" width="0" style="13" hidden="1" customWidth="1"/>
    <col min="8502" max="8502" width="10" style="13" bestFit="1" customWidth="1"/>
    <col min="8503" max="8509" width="0" style="13" hidden="1" customWidth="1"/>
    <col min="8510" max="8512" width="10.140625" style="13" customWidth="1"/>
    <col min="8513" max="8515" width="9.85546875" style="13" bestFit="1" customWidth="1"/>
    <col min="8516" max="8516" width="9.85546875" style="13" customWidth="1"/>
    <col min="8517" max="8517" width="0" style="13" hidden="1" customWidth="1"/>
    <col min="8518" max="8518" width="10" style="13" customWidth="1"/>
    <col min="8519" max="8519" width="11.42578125" style="13" customWidth="1"/>
    <col min="8520" max="8520" width="11.7109375" style="13" customWidth="1"/>
    <col min="8521" max="8521" width="11.28515625" style="13" bestFit="1" customWidth="1"/>
    <col min="8522" max="8522" width="8.85546875" style="13" bestFit="1" customWidth="1"/>
    <col min="8523" max="8704" width="9.140625" style="13"/>
    <col min="8705" max="8705" width="4.42578125" style="13" customWidth="1"/>
    <col min="8706" max="8706" width="35.140625" style="13" customWidth="1"/>
    <col min="8707" max="8707" width="11.28515625" style="13" bestFit="1" customWidth="1"/>
    <col min="8708" max="8721" width="0" style="13" hidden="1" customWidth="1"/>
    <col min="8722" max="8723" width="11.28515625" style="13" bestFit="1" customWidth="1"/>
    <col min="8724" max="8757" width="0" style="13" hidden="1" customWidth="1"/>
    <col min="8758" max="8758" width="10" style="13" bestFit="1" customWidth="1"/>
    <col min="8759" max="8765" width="0" style="13" hidden="1" customWidth="1"/>
    <col min="8766" max="8768" width="10.140625" style="13" customWidth="1"/>
    <col min="8769" max="8771" width="9.85546875" style="13" bestFit="1" customWidth="1"/>
    <col min="8772" max="8772" width="9.85546875" style="13" customWidth="1"/>
    <col min="8773" max="8773" width="0" style="13" hidden="1" customWidth="1"/>
    <col min="8774" max="8774" width="10" style="13" customWidth="1"/>
    <col min="8775" max="8775" width="11.42578125" style="13" customWidth="1"/>
    <col min="8776" max="8776" width="11.7109375" style="13" customWidth="1"/>
    <col min="8777" max="8777" width="11.28515625" style="13" bestFit="1" customWidth="1"/>
    <col min="8778" max="8778" width="8.85546875" style="13" bestFit="1" customWidth="1"/>
    <col min="8779" max="8960" width="9.140625" style="13"/>
    <col min="8961" max="8961" width="4.42578125" style="13" customWidth="1"/>
    <col min="8962" max="8962" width="35.140625" style="13" customWidth="1"/>
    <col min="8963" max="8963" width="11.28515625" style="13" bestFit="1" customWidth="1"/>
    <col min="8964" max="8977" width="0" style="13" hidden="1" customWidth="1"/>
    <col min="8978" max="8979" width="11.28515625" style="13" bestFit="1" customWidth="1"/>
    <col min="8980" max="9013" width="0" style="13" hidden="1" customWidth="1"/>
    <col min="9014" max="9014" width="10" style="13" bestFit="1" customWidth="1"/>
    <col min="9015" max="9021" width="0" style="13" hidden="1" customWidth="1"/>
    <col min="9022" max="9024" width="10.140625" style="13" customWidth="1"/>
    <col min="9025" max="9027" width="9.85546875" style="13" bestFit="1" customWidth="1"/>
    <col min="9028" max="9028" width="9.85546875" style="13" customWidth="1"/>
    <col min="9029" max="9029" width="0" style="13" hidden="1" customWidth="1"/>
    <col min="9030" max="9030" width="10" style="13" customWidth="1"/>
    <col min="9031" max="9031" width="11.42578125" style="13" customWidth="1"/>
    <col min="9032" max="9032" width="11.7109375" style="13" customWidth="1"/>
    <col min="9033" max="9033" width="11.28515625" style="13" bestFit="1" customWidth="1"/>
    <col min="9034" max="9034" width="8.85546875" style="13" bestFit="1" customWidth="1"/>
    <col min="9035" max="9216" width="9.140625" style="13"/>
    <col min="9217" max="9217" width="4.42578125" style="13" customWidth="1"/>
    <col min="9218" max="9218" width="35.140625" style="13" customWidth="1"/>
    <col min="9219" max="9219" width="11.28515625" style="13" bestFit="1" customWidth="1"/>
    <col min="9220" max="9233" width="0" style="13" hidden="1" customWidth="1"/>
    <col min="9234" max="9235" width="11.28515625" style="13" bestFit="1" customWidth="1"/>
    <col min="9236" max="9269" width="0" style="13" hidden="1" customWidth="1"/>
    <col min="9270" max="9270" width="10" style="13" bestFit="1" customWidth="1"/>
    <col min="9271" max="9277" width="0" style="13" hidden="1" customWidth="1"/>
    <col min="9278" max="9280" width="10.140625" style="13" customWidth="1"/>
    <col min="9281" max="9283" width="9.85546875" style="13" bestFit="1" customWidth="1"/>
    <col min="9284" max="9284" width="9.85546875" style="13" customWidth="1"/>
    <col min="9285" max="9285" width="0" style="13" hidden="1" customWidth="1"/>
    <col min="9286" max="9286" width="10" style="13" customWidth="1"/>
    <col min="9287" max="9287" width="11.42578125" style="13" customWidth="1"/>
    <col min="9288" max="9288" width="11.7109375" style="13" customWidth="1"/>
    <col min="9289" max="9289" width="11.28515625" style="13" bestFit="1" customWidth="1"/>
    <col min="9290" max="9290" width="8.85546875" style="13" bestFit="1" customWidth="1"/>
    <col min="9291" max="9472" width="9.140625" style="13"/>
    <col min="9473" max="9473" width="4.42578125" style="13" customWidth="1"/>
    <col min="9474" max="9474" width="35.140625" style="13" customWidth="1"/>
    <col min="9475" max="9475" width="11.28515625" style="13" bestFit="1" customWidth="1"/>
    <col min="9476" max="9489" width="0" style="13" hidden="1" customWidth="1"/>
    <col min="9490" max="9491" width="11.28515625" style="13" bestFit="1" customWidth="1"/>
    <col min="9492" max="9525" width="0" style="13" hidden="1" customWidth="1"/>
    <col min="9526" max="9526" width="10" style="13" bestFit="1" customWidth="1"/>
    <col min="9527" max="9533" width="0" style="13" hidden="1" customWidth="1"/>
    <col min="9534" max="9536" width="10.140625" style="13" customWidth="1"/>
    <col min="9537" max="9539" width="9.85546875" style="13" bestFit="1" customWidth="1"/>
    <col min="9540" max="9540" width="9.85546875" style="13" customWidth="1"/>
    <col min="9541" max="9541" width="0" style="13" hidden="1" customWidth="1"/>
    <col min="9542" max="9542" width="10" style="13" customWidth="1"/>
    <col min="9543" max="9543" width="11.42578125" style="13" customWidth="1"/>
    <col min="9544" max="9544" width="11.7109375" style="13" customWidth="1"/>
    <col min="9545" max="9545" width="11.28515625" style="13" bestFit="1" customWidth="1"/>
    <col min="9546" max="9546" width="8.85546875" style="13" bestFit="1" customWidth="1"/>
    <col min="9547" max="9728" width="9.140625" style="13"/>
    <col min="9729" max="9729" width="4.42578125" style="13" customWidth="1"/>
    <col min="9730" max="9730" width="35.140625" style="13" customWidth="1"/>
    <col min="9731" max="9731" width="11.28515625" style="13" bestFit="1" customWidth="1"/>
    <col min="9732" max="9745" width="0" style="13" hidden="1" customWidth="1"/>
    <col min="9746" max="9747" width="11.28515625" style="13" bestFit="1" customWidth="1"/>
    <col min="9748" max="9781" width="0" style="13" hidden="1" customWidth="1"/>
    <col min="9782" max="9782" width="10" style="13" bestFit="1" customWidth="1"/>
    <col min="9783" max="9789" width="0" style="13" hidden="1" customWidth="1"/>
    <col min="9790" max="9792" width="10.140625" style="13" customWidth="1"/>
    <col min="9793" max="9795" width="9.85546875" style="13" bestFit="1" customWidth="1"/>
    <col min="9796" max="9796" width="9.85546875" style="13" customWidth="1"/>
    <col min="9797" max="9797" width="0" style="13" hidden="1" customWidth="1"/>
    <col min="9798" max="9798" width="10" style="13" customWidth="1"/>
    <col min="9799" max="9799" width="11.42578125" style="13" customWidth="1"/>
    <col min="9800" max="9800" width="11.7109375" style="13" customWidth="1"/>
    <col min="9801" max="9801" width="11.28515625" style="13" bestFit="1" customWidth="1"/>
    <col min="9802" max="9802" width="8.85546875" style="13" bestFit="1" customWidth="1"/>
    <col min="9803" max="9984" width="9.140625" style="13"/>
    <col min="9985" max="9985" width="4.42578125" style="13" customWidth="1"/>
    <col min="9986" max="9986" width="35.140625" style="13" customWidth="1"/>
    <col min="9987" max="9987" width="11.28515625" style="13" bestFit="1" customWidth="1"/>
    <col min="9988" max="10001" width="0" style="13" hidden="1" customWidth="1"/>
    <col min="10002" max="10003" width="11.28515625" style="13" bestFit="1" customWidth="1"/>
    <col min="10004" max="10037" width="0" style="13" hidden="1" customWidth="1"/>
    <col min="10038" max="10038" width="10" style="13" bestFit="1" customWidth="1"/>
    <col min="10039" max="10045" width="0" style="13" hidden="1" customWidth="1"/>
    <col min="10046" max="10048" width="10.140625" style="13" customWidth="1"/>
    <col min="10049" max="10051" width="9.85546875" style="13" bestFit="1" customWidth="1"/>
    <col min="10052" max="10052" width="9.85546875" style="13" customWidth="1"/>
    <col min="10053" max="10053" width="0" style="13" hidden="1" customWidth="1"/>
    <col min="10054" max="10054" width="10" style="13" customWidth="1"/>
    <col min="10055" max="10055" width="11.42578125" style="13" customWidth="1"/>
    <col min="10056" max="10056" width="11.7109375" style="13" customWidth="1"/>
    <col min="10057" max="10057" width="11.28515625" style="13" bestFit="1" customWidth="1"/>
    <col min="10058" max="10058" width="8.85546875" style="13" bestFit="1" customWidth="1"/>
    <col min="10059" max="10240" width="9.140625" style="13"/>
    <col min="10241" max="10241" width="4.42578125" style="13" customWidth="1"/>
    <col min="10242" max="10242" width="35.140625" style="13" customWidth="1"/>
    <col min="10243" max="10243" width="11.28515625" style="13" bestFit="1" customWidth="1"/>
    <col min="10244" max="10257" width="0" style="13" hidden="1" customWidth="1"/>
    <col min="10258" max="10259" width="11.28515625" style="13" bestFit="1" customWidth="1"/>
    <col min="10260" max="10293" width="0" style="13" hidden="1" customWidth="1"/>
    <col min="10294" max="10294" width="10" style="13" bestFit="1" customWidth="1"/>
    <col min="10295" max="10301" width="0" style="13" hidden="1" customWidth="1"/>
    <col min="10302" max="10304" width="10.140625" style="13" customWidth="1"/>
    <col min="10305" max="10307" width="9.85546875" style="13" bestFit="1" customWidth="1"/>
    <col min="10308" max="10308" width="9.85546875" style="13" customWidth="1"/>
    <col min="10309" max="10309" width="0" style="13" hidden="1" customWidth="1"/>
    <col min="10310" max="10310" width="10" style="13" customWidth="1"/>
    <col min="10311" max="10311" width="11.42578125" style="13" customWidth="1"/>
    <col min="10312" max="10312" width="11.7109375" style="13" customWidth="1"/>
    <col min="10313" max="10313" width="11.28515625" style="13" bestFit="1" customWidth="1"/>
    <col min="10314" max="10314" width="8.85546875" style="13" bestFit="1" customWidth="1"/>
    <col min="10315" max="10496" width="9.140625" style="13"/>
    <col min="10497" max="10497" width="4.42578125" style="13" customWidth="1"/>
    <col min="10498" max="10498" width="35.140625" style="13" customWidth="1"/>
    <col min="10499" max="10499" width="11.28515625" style="13" bestFit="1" customWidth="1"/>
    <col min="10500" max="10513" width="0" style="13" hidden="1" customWidth="1"/>
    <col min="10514" max="10515" width="11.28515625" style="13" bestFit="1" customWidth="1"/>
    <col min="10516" max="10549" width="0" style="13" hidden="1" customWidth="1"/>
    <col min="10550" max="10550" width="10" style="13" bestFit="1" customWidth="1"/>
    <col min="10551" max="10557" width="0" style="13" hidden="1" customWidth="1"/>
    <col min="10558" max="10560" width="10.140625" style="13" customWidth="1"/>
    <col min="10561" max="10563" width="9.85546875" style="13" bestFit="1" customWidth="1"/>
    <col min="10564" max="10564" width="9.85546875" style="13" customWidth="1"/>
    <col min="10565" max="10565" width="0" style="13" hidden="1" customWidth="1"/>
    <col min="10566" max="10566" width="10" style="13" customWidth="1"/>
    <col min="10567" max="10567" width="11.42578125" style="13" customWidth="1"/>
    <col min="10568" max="10568" width="11.7109375" style="13" customWidth="1"/>
    <col min="10569" max="10569" width="11.28515625" style="13" bestFit="1" customWidth="1"/>
    <col min="10570" max="10570" width="8.85546875" style="13" bestFit="1" customWidth="1"/>
    <col min="10571" max="10752" width="9.140625" style="13"/>
    <col min="10753" max="10753" width="4.42578125" style="13" customWidth="1"/>
    <col min="10754" max="10754" width="35.140625" style="13" customWidth="1"/>
    <col min="10755" max="10755" width="11.28515625" style="13" bestFit="1" customWidth="1"/>
    <col min="10756" max="10769" width="0" style="13" hidden="1" customWidth="1"/>
    <col min="10770" max="10771" width="11.28515625" style="13" bestFit="1" customWidth="1"/>
    <col min="10772" max="10805" width="0" style="13" hidden="1" customWidth="1"/>
    <col min="10806" max="10806" width="10" style="13" bestFit="1" customWidth="1"/>
    <col min="10807" max="10813" width="0" style="13" hidden="1" customWidth="1"/>
    <col min="10814" max="10816" width="10.140625" style="13" customWidth="1"/>
    <col min="10817" max="10819" width="9.85546875" style="13" bestFit="1" customWidth="1"/>
    <col min="10820" max="10820" width="9.85546875" style="13" customWidth="1"/>
    <col min="10821" max="10821" width="0" style="13" hidden="1" customWidth="1"/>
    <col min="10822" max="10822" width="10" style="13" customWidth="1"/>
    <col min="10823" max="10823" width="11.42578125" style="13" customWidth="1"/>
    <col min="10824" max="10824" width="11.7109375" style="13" customWidth="1"/>
    <col min="10825" max="10825" width="11.28515625" style="13" bestFit="1" customWidth="1"/>
    <col min="10826" max="10826" width="8.85546875" style="13" bestFit="1" customWidth="1"/>
    <col min="10827" max="11008" width="9.140625" style="13"/>
    <col min="11009" max="11009" width="4.42578125" style="13" customWidth="1"/>
    <col min="11010" max="11010" width="35.140625" style="13" customWidth="1"/>
    <col min="11011" max="11011" width="11.28515625" style="13" bestFit="1" customWidth="1"/>
    <col min="11012" max="11025" width="0" style="13" hidden="1" customWidth="1"/>
    <col min="11026" max="11027" width="11.28515625" style="13" bestFit="1" customWidth="1"/>
    <col min="11028" max="11061" width="0" style="13" hidden="1" customWidth="1"/>
    <col min="11062" max="11062" width="10" style="13" bestFit="1" customWidth="1"/>
    <col min="11063" max="11069" width="0" style="13" hidden="1" customWidth="1"/>
    <col min="11070" max="11072" width="10.140625" style="13" customWidth="1"/>
    <col min="11073" max="11075" width="9.85546875" style="13" bestFit="1" customWidth="1"/>
    <col min="11076" max="11076" width="9.85546875" style="13" customWidth="1"/>
    <col min="11077" max="11077" width="0" style="13" hidden="1" customWidth="1"/>
    <col min="11078" max="11078" width="10" style="13" customWidth="1"/>
    <col min="11079" max="11079" width="11.42578125" style="13" customWidth="1"/>
    <col min="11080" max="11080" width="11.7109375" style="13" customWidth="1"/>
    <col min="11081" max="11081" width="11.28515625" style="13" bestFit="1" customWidth="1"/>
    <col min="11082" max="11082" width="8.85546875" style="13" bestFit="1" customWidth="1"/>
    <col min="11083" max="11264" width="9.140625" style="13"/>
    <col min="11265" max="11265" width="4.42578125" style="13" customWidth="1"/>
    <col min="11266" max="11266" width="35.140625" style="13" customWidth="1"/>
    <col min="11267" max="11267" width="11.28515625" style="13" bestFit="1" customWidth="1"/>
    <col min="11268" max="11281" width="0" style="13" hidden="1" customWidth="1"/>
    <col min="11282" max="11283" width="11.28515625" style="13" bestFit="1" customWidth="1"/>
    <col min="11284" max="11317" width="0" style="13" hidden="1" customWidth="1"/>
    <col min="11318" max="11318" width="10" style="13" bestFit="1" customWidth="1"/>
    <col min="11319" max="11325" width="0" style="13" hidden="1" customWidth="1"/>
    <col min="11326" max="11328" width="10.140625" style="13" customWidth="1"/>
    <col min="11329" max="11331" width="9.85546875" style="13" bestFit="1" customWidth="1"/>
    <col min="11332" max="11332" width="9.85546875" style="13" customWidth="1"/>
    <col min="11333" max="11333" width="0" style="13" hidden="1" customWidth="1"/>
    <col min="11334" max="11334" width="10" style="13" customWidth="1"/>
    <col min="11335" max="11335" width="11.42578125" style="13" customWidth="1"/>
    <col min="11336" max="11336" width="11.7109375" style="13" customWidth="1"/>
    <col min="11337" max="11337" width="11.28515625" style="13" bestFit="1" customWidth="1"/>
    <col min="11338" max="11338" width="8.85546875" style="13" bestFit="1" customWidth="1"/>
    <col min="11339" max="11520" width="9.140625" style="13"/>
    <col min="11521" max="11521" width="4.42578125" style="13" customWidth="1"/>
    <col min="11522" max="11522" width="35.140625" style="13" customWidth="1"/>
    <col min="11523" max="11523" width="11.28515625" style="13" bestFit="1" customWidth="1"/>
    <col min="11524" max="11537" width="0" style="13" hidden="1" customWidth="1"/>
    <col min="11538" max="11539" width="11.28515625" style="13" bestFit="1" customWidth="1"/>
    <col min="11540" max="11573" width="0" style="13" hidden="1" customWidth="1"/>
    <col min="11574" max="11574" width="10" style="13" bestFit="1" customWidth="1"/>
    <col min="11575" max="11581" width="0" style="13" hidden="1" customWidth="1"/>
    <col min="11582" max="11584" width="10.140625" style="13" customWidth="1"/>
    <col min="11585" max="11587" width="9.85546875" style="13" bestFit="1" customWidth="1"/>
    <col min="11588" max="11588" width="9.85546875" style="13" customWidth="1"/>
    <col min="11589" max="11589" width="0" style="13" hidden="1" customWidth="1"/>
    <col min="11590" max="11590" width="10" style="13" customWidth="1"/>
    <col min="11591" max="11591" width="11.42578125" style="13" customWidth="1"/>
    <col min="11592" max="11592" width="11.7109375" style="13" customWidth="1"/>
    <col min="11593" max="11593" width="11.28515625" style="13" bestFit="1" customWidth="1"/>
    <col min="11594" max="11594" width="8.85546875" style="13" bestFit="1" customWidth="1"/>
    <col min="11595" max="11776" width="9.140625" style="13"/>
    <col min="11777" max="11777" width="4.42578125" style="13" customWidth="1"/>
    <col min="11778" max="11778" width="35.140625" style="13" customWidth="1"/>
    <col min="11779" max="11779" width="11.28515625" style="13" bestFit="1" customWidth="1"/>
    <col min="11780" max="11793" width="0" style="13" hidden="1" customWidth="1"/>
    <col min="11794" max="11795" width="11.28515625" style="13" bestFit="1" customWidth="1"/>
    <col min="11796" max="11829" width="0" style="13" hidden="1" customWidth="1"/>
    <col min="11830" max="11830" width="10" style="13" bestFit="1" customWidth="1"/>
    <col min="11831" max="11837" width="0" style="13" hidden="1" customWidth="1"/>
    <col min="11838" max="11840" width="10.140625" style="13" customWidth="1"/>
    <col min="11841" max="11843" width="9.85546875" style="13" bestFit="1" customWidth="1"/>
    <col min="11844" max="11844" width="9.85546875" style="13" customWidth="1"/>
    <col min="11845" max="11845" width="0" style="13" hidden="1" customWidth="1"/>
    <col min="11846" max="11846" width="10" style="13" customWidth="1"/>
    <col min="11847" max="11847" width="11.42578125" style="13" customWidth="1"/>
    <col min="11848" max="11848" width="11.7109375" style="13" customWidth="1"/>
    <col min="11849" max="11849" width="11.28515625" style="13" bestFit="1" customWidth="1"/>
    <col min="11850" max="11850" width="8.85546875" style="13" bestFit="1" customWidth="1"/>
    <col min="11851" max="12032" width="9.140625" style="13"/>
    <col min="12033" max="12033" width="4.42578125" style="13" customWidth="1"/>
    <col min="12034" max="12034" width="35.140625" style="13" customWidth="1"/>
    <col min="12035" max="12035" width="11.28515625" style="13" bestFit="1" customWidth="1"/>
    <col min="12036" max="12049" width="0" style="13" hidden="1" customWidth="1"/>
    <col min="12050" max="12051" width="11.28515625" style="13" bestFit="1" customWidth="1"/>
    <col min="12052" max="12085" width="0" style="13" hidden="1" customWidth="1"/>
    <col min="12086" max="12086" width="10" style="13" bestFit="1" customWidth="1"/>
    <col min="12087" max="12093" width="0" style="13" hidden="1" customWidth="1"/>
    <col min="12094" max="12096" width="10.140625" style="13" customWidth="1"/>
    <col min="12097" max="12099" width="9.85546875" style="13" bestFit="1" customWidth="1"/>
    <col min="12100" max="12100" width="9.85546875" style="13" customWidth="1"/>
    <col min="12101" max="12101" width="0" style="13" hidden="1" customWidth="1"/>
    <col min="12102" max="12102" width="10" style="13" customWidth="1"/>
    <col min="12103" max="12103" width="11.42578125" style="13" customWidth="1"/>
    <col min="12104" max="12104" width="11.7109375" style="13" customWidth="1"/>
    <col min="12105" max="12105" width="11.28515625" style="13" bestFit="1" customWidth="1"/>
    <col min="12106" max="12106" width="8.85546875" style="13" bestFit="1" customWidth="1"/>
    <col min="12107" max="12288" width="9.140625" style="13"/>
    <col min="12289" max="12289" width="4.42578125" style="13" customWidth="1"/>
    <col min="12290" max="12290" width="35.140625" style="13" customWidth="1"/>
    <col min="12291" max="12291" width="11.28515625" style="13" bestFit="1" customWidth="1"/>
    <col min="12292" max="12305" width="0" style="13" hidden="1" customWidth="1"/>
    <col min="12306" max="12307" width="11.28515625" style="13" bestFit="1" customWidth="1"/>
    <col min="12308" max="12341" width="0" style="13" hidden="1" customWidth="1"/>
    <col min="12342" max="12342" width="10" style="13" bestFit="1" customWidth="1"/>
    <col min="12343" max="12349" width="0" style="13" hidden="1" customWidth="1"/>
    <col min="12350" max="12352" width="10.140625" style="13" customWidth="1"/>
    <col min="12353" max="12355" width="9.85546875" style="13" bestFit="1" customWidth="1"/>
    <col min="12356" max="12356" width="9.85546875" style="13" customWidth="1"/>
    <col min="12357" max="12357" width="0" style="13" hidden="1" customWidth="1"/>
    <col min="12358" max="12358" width="10" style="13" customWidth="1"/>
    <col min="12359" max="12359" width="11.42578125" style="13" customWidth="1"/>
    <col min="12360" max="12360" width="11.7109375" style="13" customWidth="1"/>
    <col min="12361" max="12361" width="11.28515625" style="13" bestFit="1" customWidth="1"/>
    <col min="12362" max="12362" width="8.85546875" style="13" bestFit="1" customWidth="1"/>
    <col min="12363" max="12544" width="9.140625" style="13"/>
    <col min="12545" max="12545" width="4.42578125" style="13" customWidth="1"/>
    <col min="12546" max="12546" width="35.140625" style="13" customWidth="1"/>
    <col min="12547" max="12547" width="11.28515625" style="13" bestFit="1" customWidth="1"/>
    <col min="12548" max="12561" width="0" style="13" hidden="1" customWidth="1"/>
    <col min="12562" max="12563" width="11.28515625" style="13" bestFit="1" customWidth="1"/>
    <col min="12564" max="12597" width="0" style="13" hidden="1" customWidth="1"/>
    <col min="12598" max="12598" width="10" style="13" bestFit="1" customWidth="1"/>
    <col min="12599" max="12605" width="0" style="13" hidden="1" customWidth="1"/>
    <col min="12606" max="12608" width="10.140625" style="13" customWidth="1"/>
    <col min="12609" max="12611" width="9.85546875" style="13" bestFit="1" customWidth="1"/>
    <col min="12612" max="12612" width="9.85546875" style="13" customWidth="1"/>
    <col min="12613" max="12613" width="0" style="13" hidden="1" customWidth="1"/>
    <col min="12614" max="12614" width="10" style="13" customWidth="1"/>
    <col min="12615" max="12615" width="11.42578125" style="13" customWidth="1"/>
    <col min="12616" max="12616" width="11.7109375" style="13" customWidth="1"/>
    <col min="12617" max="12617" width="11.28515625" style="13" bestFit="1" customWidth="1"/>
    <col min="12618" max="12618" width="8.85546875" style="13" bestFit="1" customWidth="1"/>
    <col min="12619" max="12800" width="9.140625" style="13"/>
    <col min="12801" max="12801" width="4.42578125" style="13" customWidth="1"/>
    <col min="12802" max="12802" width="35.140625" style="13" customWidth="1"/>
    <col min="12803" max="12803" width="11.28515625" style="13" bestFit="1" customWidth="1"/>
    <col min="12804" max="12817" width="0" style="13" hidden="1" customWidth="1"/>
    <col min="12818" max="12819" width="11.28515625" style="13" bestFit="1" customWidth="1"/>
    <col min="12820" max="12853" width="0" style="13" hidden="1" customWidth="1"/>
    <col min="12854" max="12854" width="10" style="13" bestFit="1" customWidth="1"/>
    <col min="12855" max="12861" width="0" style="13" hidden="1" customWidth="1"/>
    <col min="12862" max="12864" width="10.140625" style="13" customWidth="1"/>
    <col min="12865" max="12867" width="9.85546875" style="13" bestFit="1" customWidth="1"/>
    <col min="12868" max="12868" width="9.85546875" style="13" customWidth="1"/>
    <col min="12869" max="12869" width="0" style="13" hidden="1" customWidth="1"/>
    <col min="12870" max="12870" width="10" style="13" customWidth="1"/>
    <col min="12871" max="12871" width="11.42578125" style="13" customWidth="1"/>
    <col min="12872" max="12872" width="11.7109375" style="13" customWidth="1"/>
    <col min="12873" max="12873" width="11.28515625" style="13" bestFit="1" customWidth="1"/>
    <col min="12874" max="12874" width="8.85546875" style="13" bestFit="1" customWidth="1"/>
    <col min="12875" max="13056" width="9.140625" style="13"/>
    <col min="13057" max="13057" width="4.42578125" style="13" customWidth="1"/>
    <col min="13058" max="13058" width="35.140625" style="13" customWidth="1"/>
    <col min="13059" max="13059" width="11.28515625" style="13" bestFit="1" customWidth="1"/>
    <col min="13060" max="13073" width="0" style="13" hidden="1" customWidth="1"/>
    <col min="13074" max="13075" width="11.28515625" style="13" bestFit="1" customWidth="1"/>
    <col min="13076" max="13109" width="0" style="13" hidden="1" customWidth="1"/>
    <col min="13110" max="13110" width="10" style="13" bestFit="1" customWidth="1"/>
    <col min="13111" max="13117" width="0" style="13" hidden="1" customWidth="1"/>
    <col min="13118" max="13120" width="10.140625" style="13" customWidth="1"/>
    <col min="13121" max="13123" width="9.85546875" style="13" bestFit="1" customWidth="1"/>
    <col min="13124" max="13124" width="9.85546875" style="13" customWidth="1"/>
    <col min="13125" max="13125" width="0" style="13" hidden="1" customWidth="1"/>
    <col min="13126" max="13126" width="10" style="13" customWidth="1"/>
    <col min="13127" max="13127" width="11.42578125" style="13" customWidth="1"/>
    <col min="13128" max="13128" width="11.7109375" style="13" customWidth="1"/>
    <col min="13129" max="13129" width="11.28515625" style="13" bestFit="1" customWidth="1"/>
    <col min="13130" max="13130" width="8.85546875" style="13" bestFit="1" customWidth="1"/>
    <col min="13131" max="13312" width="9.140625" style="13"/>
    <col min="13313" max="13313" width="4.42578125" style="13" customWidth="1"/>
    <col min="13314" max="13314" width="35.140625" style="13" customWidth="1"/>
    <col min="13315" max="13315" width="11.28515625" style="13" bestFit="1" customWidth="1"/>
    <col min="13316" max="13329" width="0" style="13" hidden="1" customWidth="1"/>
    <col min="13330" max="13331" width="11.28515625" style="13" bestFit="1" customWidth="1"/>
    <col min="13332" max="13365" width="0" style="13" hidden="1" customWidth="1"/>
    <col min="13366" max="13366" width="10" style="13" bestFit="1" customWidth="1"/>
    <col min="13367" max="13373" width="0" style="13" hidden="1" customWidth="1"/>
    <col min="13374" max="13376" width="10.140625" style="13" customWidth="1"/>
    <col min="13377" max="13379" width="9.85546875" style="13" bestFit="1" customWidth="1"/>
    <col min="13380" max="13380" width="9.85546875" style="13" customWidth="1"/>
    <col min="13381" max="13381" width="0" style="13" hidden="1" customWidth="1"/>
    <col min="13382" max="13382" width="10" style="13" customWidth="1"/>
    <col min="13383" max="13383" width="11.42578125" style="13" customWidth="1"/>
    <col min="13384" max="13384" width="11.7109375" style="13" customWidth="1"/>
    <col min="13385" max="13385" width="11.28515625" style="13" bestFit="1" customWidth="1"/>
    <col min="13386" max="13386" width="8.85546875" style="13" bestFit="1" customWidth="1"/>
    <col min="13387" max="13568" width="9.140625" style="13"/>
    <col min="13569" max="13569" width="4.42578125" style="13" customWidth="1"/>
    <col min="13570" max="13570" width="35.140625" style="13" customWidth="1"/>
    <col min="13571" max="13571" width="11.28515625" style="13" bestFit="1" customWidth="1"/>
    <col min="13572" max="13585" width="0" style="13" hidden="1" customWidth="1"/>
    <col min="13586" max="13587" width="11.28515625" style="13" bestFit="1" customWidth="1"/>
    <col min="13588" max="13621" width="0" style="13" hidden="1" customWidth="1"/>
    <col min="13622" max="13622" width="10" style="13" bestFit="1" customWidth="1"/>
    <col min="13623" max="13629" width="0" style="13" hidden="1" customWidth="1"/>
    <col min="13630" max="13632" width="10.140625" style="13" customWidth="1"/>
    <col min="13633" max="13635" width="9.85546875" style="13" bestFit="1" customWidth="1"/>
    <col min="13636" max="13636" width="9.85546875" style="13" customWidth="1"/>
    <col min="13637" max="13637" width="0" style="13" hidden="1" customWidth="1"/>
    <col min="13638" max="13638" width="10" style="13" customWidth="1"/>
    <col min="13639" max="13639" width="11.42578125" style="13" customWidth="1"/>
    <col min="13640" max="13640" width="11.7109375" style="13" customWidth="1"/>
    <col min="13641" max="13641" width="11.28515625" style="13" bestFit="1" customWidth="1"/>
    <col min="13642" max="13642" width="8.85546875" style="13" bestFit="1" customWidth="1"/>
    <col min="13643" max="13824" width="9.140625" style="13"/>
    <col min="13825" max="13825" width="4.42578125" style="13" customWidth="1"/>
    <col min="13826" max="13826" width="35.140625" style="13" customWidth="1"/>
    <col min="13827" max="13827" width="11.28515625" style="13" bestFit="1" customWidth="1"/>
    <col min="13828" max="13841" width="0" style="13" hidden="1" customWidth="1"/>
    <col min="13842" max="13843" width="11.28515625" style="13" bestFit="1" customWidth="1"/>
    <col min="13844" max="13877" width="0" style="13" hidden="1" customWidth="1"/>
    <col min="13878" max="13878" width="10" style="13" bestFit="1" customWidth="1"/>
    <col min="13879" max="13885" width="0" style="13" hidden="1" customWidth="1"/>
    <col min="13886" max="13888" width="10.140625" style="13" customWidth="1"/>
    <col min="13889" max="13891" width="9.85546875" style="13" bestFit="1" customWidth="1"/>
    <col min="13892" max="13892" width="9.85546875" style="13" customWidth="1"/>
    <col min="13893" max="13893" width="0" style="13" hidden="1" customWidth="1"/>
    <col min="13894" max="13894" width="10" style="13" customWidth="1"/>
    <col min="13895" max="13895" width="11.42578125" style="13" customWidth="1"/>
    <col min="13896" max="13896" width="11.7109375" style="13" customWidth="1"/>
    <col min="13897" max="13897" width="11.28515625" style="13" bestFit="1" customWidth="1"/>
    <col min="13898" max="13898" width="8.85546875" style="13" bestFit="1" customWidth="1"/>
    <col min="13899" max="14080" width="9.140625" style="13"/>
    <col min="14081" max="14081" width="4.42578125" style="13" customWidth="1"/>
    <col min="14082" max="14082" width="35.140625" style="13" customWidth="1"/>
    <col min="14083" max="14083" width="11.28515625" style="13" bestFit="1" customWidth="1"/>
    <col min="14084" max="14097" width="0" style="13" hidden="1" customWidth="1"/>
    <col min="14098" max="14099" width="11.28515625" style="13" bestFit="1" customWidth="1"/>
    <col min="14100" max="14133" width="0" style="13" hidden="1" customWidth="1"/>
    <col min="14134" max="14134" width="10" style="13" bestFit="1" customWidth="1"/>
    <col min="14135" max="14141" width="0" style="13" hidden="1" customWidth="1"/>
    <col min="14142" max="14144" width="10.140625" style="13" customWidth="1"/>
    <col min="14145" max="14147" width="9.85546875" style="13" bestFit="1" customWidth="1"/>
    <col min="14148" max="14148" width="9.85546875" style="13" customWidth="1"/>
    <col min="14149" max="14149" width="0" style="13" hidden="1" customWidth="1"/>
    <col min="14150" max="14150" width="10" style="13" customWidth="1"/>
    <col min="14151" max="14151" width="11.42578125" style="13" customWidth="1"/>
    <col min="14152" max="14152" width="11.7109375" style="13" customWidth="1"/>
    <col min="14153" max="14153" width="11.28515625" style="13" bestFit="1" customWidth="1"/>
    <col min="14154" max="14154" width="8.85546875" style="13" bestFit="1" customWidth="1"/>
    <col min="14155" max="14336" width="9.140625" style="13"/>
    <col min="14337" max="14337" width="4.42578125" style="13" customWidth="1"/>
    <col min="14338" max="14338" width="35.140625" style="13" customWidth="1"/>
    <col min="14339" max="14339" width="11.28515625" style="13" bestFit="1" customWidth="1"/>
    <col min="14340" max="14353" width="0" style="13" hidden="1" customWidth="1"/>
    <col min="14354" max="14355" width="11.28515625" style="13" bestFit="1" customWidth="1"/>
    <col min="14356" max="14389" width="0" style="13" hidden="1" customWidth="1"/>
    <col min="14390" max="14390" width="10" style="13" bestFit="1" customWidth="1"/>
    <col min="14391" max="14397" width="0" style="13" hidden="1" customWidth="1"/>
    <col min="14398" max="14400" width="10.140625" style="13" customWidth="1"/>
    <col min="14401" max="14403" width="9.85546875" style="13" bestFit="1" customWidth="1"/>
    <col min="14404" max="14404" width="9.85546875" style="13" customWidth="1"/>
    <col min="14405" max="14405" width="0" style="13" hidden="1" customWidth="1"/>
    <col min="14406" max="14406" width="10" style="13" customWidth="1"/>
    <col min="14407" max="14407" width="11.42578125" style="13" customWidth="1"/>
    <col min="14408" max="14408" width="11.7109375" style="13" customWidth="1"/>
    <col min="14409" max="14409" width="11.28515625" style="13" bestFit="1" customWidth="1"/>
    <col min="14410" max="14410" width="8.85546875" style="13" bestFit="1" customWidth="1"/>
    <col min="14411" max="14592" width="9.140625" style="13"/>
    <col min="14593" max="14593" width="4.42578125" style="13" customWidth="1"/>
    <col min="14594" max="14594" width="35.140625" style="13" customWidth="1"/>
    <col min="14595" max="14595" width="11.28515625" style="13" bestFit="1" customWidth="1"/>
    <col min="14596" max="14609" width="0" style="13" hidden="1" customWidth="1"/>
    <col min="14610" max="14611" width="11.28515625" style="13" bestFit="1" customWidth="1"/>
    <col min="14612" max="14645" width="0" style="13" hidden="1" customWidth="1"/>
    <col min="14646" max="14646" width="10" style="13" bestFit="1" customWidth="1"/>
    <col min="14647" max="14653" width="0" style="13" hidden="1" customWidth="1"/>
    <col min="14654" max="14656" width="10.140625" style="13" customWidth="1"/>
    <col min="14657" max="14659" width="9.85546875" style="13" bestFit="1" customWidth="1"/>
    <col min="14660" max="14660" width="9.85546875" style="13" customWidth="1"/>
    <col min="14661" max="14661" width="0" style="13" hidden="1" customWidth="1"/>
    <col min="14662" max="14662" width="10" style="13" customWidth="1"/>
    <col min="14663" max="14663" width="11.42578125" style="13" customWidth="1"/>
    <col min="14664" max="14664" width="11.7109375" style="13" customWidth="1"/>
    <col min="14665" max="14665" width="11.28515625" style="13" bestFit="1" customWidth="1"/>
    <col min="14666" max="14666" width="8.85546875" style="13" bestFit="1" customWidth="1"/>
    <col min="14667" max="14848" width="9.140625" style="13"/>
    <col min="14849" max="14849" width="4.42578125" style="13" customWidth="1"/>
    <col min="14850" max="14850" width="35.140625" style="13" customWidth="1"/>
    <col min="14851" max="14851" width="11.28515625" style="13" bestFit="1" customWidth="1"/>
    <col min="14852" max="14865" width="0" style="13" hidden="1" customWidth="1"/>
    <col min="14866" max="14867" width="11.28515625" style="13" bestFit="1" customWidth="1"/>
    <col min="14868" max="14901" width="0" style="13" hidden="1" customWidth="1"/>
    <col min="14902" max="14902" width="10" style="13" bestFit="1" customWidth="1"/>
    <col min="14903" max="14909" width="0" style="13" hidden="1" customWidth="1"/>
    <col min="14910" max="14912" width="10.140625" style="13" customWidth="1"/>
    <col min="14913" max="14915" width="9.85546875" style="13" bestFit="1" customWidth="1"/>
    <col min="14916" max="14916" width="9.85546875" style="13" customWidth="1"/>
    <col min="14917" max="14917" width="0" style="13" hidden="1" customWidth="1"/>
    <col min="14918" max="14918" width="10" style="13" customWidth="1"/>
    <col min="14919" max="14919" width="11.42578125" style="13" customWidth="1"/>
    <col min="14920" max="14920" width="11.7109375" style="13" customWidth="1"/>
    <col min="14921" max="14921" width="11.28515625" style="13" bestFit="1" customWidth="1"/>
    <col min="14922" max="14922" width="8.85546875" style="13" bestFit="1" customWidth="1"/>
    <col min="14923" max="15104" width="9.140625" style="13"/>
    <col min="15105" max="15105" width="4.42578125" style="13" customWidth="1"/>
    <col min="15106" max="15106" width="35.140625" style="13" customWidth="1"/>
    <col min="15107" max="15107" width="11.28515625" style="13" bestFit="1" customWidth="1"/>
    <col min="15108" max="15121" width="0" style="13" hidden="1" customWidth="1"/>
    <col min="15122" max="15123" width="11.28515625" style="13" bestFit="1" customWidth="1"/>
    <col min="15124" max="15157" width="0" style="13" hidden="1" customWidth="1"/>
    <col min="15158" max="15158" width="10" style="13" bestFit="1" customWidth="1"/>
    <col min="15159" max="15165" width="0" style="13" hidden="1" customWidth="1"/>
    <col min="15166" max="15168" width="10.140625" style="13" customWidth="1"/>
    <col min="15169" max="15171" width="9.85546875" style="13" bestFit="1" customWidth="1"/>
    <col min="15172" max="15172" width="9.85546875" style="13" customWidth="1"/>
    <col min="15173" max="15173" width="0" style="13" hidden="1" customWidth="1"/>
    <col min="15174" max="15174" width="10" style="13" customWidth="1"/>
    <col min="15175" max="15175" width="11.42578125" style="13" customWidth="1"/>
    <col min="15176" max="15176" width="11.7109375" style="13" customWidth="1"/>
    <col min="15177" max="15177" width="11.28515625" style="13" bestFit="1" customWidth="1"/>
    <col min="15178" max="15178" width="8.85546875" style="13" bestFit="1" customWidth="1"/>
    <col min="15179" max="15360" width="9.140625" style="13"/>
    <col min="15361" max="15361" width="4.42578125" style="13" customWidth="1"/>
    <col min="15362" max="15362" width="35.140625" style="13" customWidth="1"/>
    <col min="15363" max="15363" width="11.28515625" style="13" bestFit="1" customWidth="1"/>
    <col min="15364" max="15377" width="0" style="13" hidden="1" customWidth="1"/>
    <col min="15378" max="15379" width="11.28515625" style="13" bestFit="1" customWidth="1"/>
    <col min="15380" max="15413" width="0" style="13" hidden="1" customWidth="1"/>
    <col min="15414" max="15414" width="10" style="13" bestFit="1" customWidth="1"/>
    <col min="15415" max="15421" width="0" style="13" hidden="1" customWidth="1"/>
    <col min="15422" max="15424" width="10.140625" style="13" customWidth="1"/>
    <col min="15425" max="15427" width="9.85546875" style="13" bestFit="1" customWidth="1"/>
    <col min="15428" max="15428" width="9.85546875" style="13" customWidth="1"/>
    <col min="15429" max="15429" width="0" style="13" hidden="1" customWidth="1"/>
    <col min="15430" max="15430" width="10" style="13" customWidth="1"/>
    <col min="15431" max="15431" width="11.42578125" style="13" customWidth="1"/>
    <col min="15432" max="15432" width="11.7109375" style="13" customWidth="1"/>
    <col min="15433" max="15433" width="11.28515625" style="13" bestFit="1" customWidth="1"/>
    <col min="15434" max="15434" width="8.85546875" style="13" bestFit="1" customWidth="1"/>
    <col min="15435" max="15616" width="9.140625" style="13"/>
    <col min="15617" max="15617" width="4.42578125" style="13" customWidth="1"/>
    <col min="15618" max="15618" width="35.140625" style="13" customWidth="1"/>
    <col min="15619" max="15619" width="11.28515625" style="13" bestFit="1" customWidth="1"/>
    <col min="15620" max="15633" width="0" style="13" hidden="1" customWidth="1"/>
    <col min="15634" max="15635" width="11.28515625" style="13" bestFit="1" customWidth="1"/>
    <col min="15636" max="15669" width="0" style="13" hidden="1" customWidth="1"/>
    <col min="15670" max="15670" width="10" style="13" bestFit="1" customWidth="1"/>
    <col min="15671" max="15677" width="0" style="13" hidden="1" customWidth="1"/>
    <col min="15678" max="15680" width="10.140625" style="13" customWidth="1"/>
    <col min="15681" max="15683" width="9.85546875" style="13" bestFit="1" customWidth="1"/>
    <col min="15684" max="15684" width="9.85546875" style="13" customWidth="1"/>
    <col min="15685" max="15685" width="0" style="13" hidden="1" customWidth="1"/>
    <col min="15686" max="15686" width="10" style="13" customWidth="1"/>
    <col min="15687" max="15687" width="11.42578125" style="13" customWidth="1"/>
    <col min="15688" max="15688" width="11.7109375" style="13" customWidth="1"/>
    <col min="15689" max="15689" width="11.28515625" style="13" bestFit="1" customWidth="1"/>
    <col min="15690" max="15690" width="8.85546875" style="13" bestFit="1" customWidth="1"/>
    <col min="15691" max="15872" width="9.140625" style="13"/>
    <col min="15873" max="15873" width="4.42578125" style="13" customWidth="1"/>
    <col min="15874" max="15874" width="35.140625" style="13" customWidth="1"/>
    <col min="15875" max="15875" width="11.28515625" style="13" bestFit="1" customWidth="1"/>
    <col min="15876" max="15889" width="0" style="13" hidden="1" customWidth="1"/>
    <col min="15890" max="15891" width="11.28515625" style="13" bestFit="1" customWidth="1"/>
    <col min="15892" max="15925" width="0" style="13" hidden="1" customWidth="1"/>
    <col min="15926" max="15926" width="10" style="13" bestFit="1" customWidth="1"/>
    <col min="15927" max="15933" width="0" style="13" hidden="1" customWidth="1"/>
    <col min="15934" max="15936" width="10.140625" style="13" customWidth="1"/>
    <col min="15937" max="15939" width="9.85546875" style="13" bestFit="1" customWidth="1"/>
    <col min="15940" max="15940" width="9.85546875" style="13" customWidth="1"/>
    <col min="15941" max="15941" width="0" style="13" hidden="1" customWidth="1"/>
    <col min="15942" max="15942" width="10" style="13" customWidth="1"/>
    <col min="15943" max="15943" width="11.42578125" style="13" customWidth="1"/>
    <col min="15944" max="15944" width="11.7109375" style="13" customWidth="1"/>
    <col min="15945" max="15945" width="11.28515625" style="13" bestFit="1" customWidth="1"/>
    <col min="15946" max="15946" width="8.85546875" style="13" bestFit="1" customWidth="1"/>
    <col min="15947" max="16128" width="9.140625" style="13"/>
    <col min="16129" max="16129" width="4.42578125" style="13" customWidth="1"/>
    <col min="16130" max="16130" width="35.140625" style="13" customWidth="1"/>
    <col min="16131" max="16131" width="11.28515625" style="13" bestFit="1" customWidth="1"/>
    <col min="16132" max="16145" width="0" style="13" hidden="1" customWidth="1"/>
    <col min="16146" max="16147" width="11.28515625" style="13" bestFit="1" customWidth="1"/>
    <col min="16148" max="16181" width="0" style="13" hidden="1" customWidth="1"/>
    <col min="16182" max="16182" width="10" style="13" bestFit="1" customWidth="1"/>
    <col min="16183" max="16189" width="0" style="13" hidden="1" customWidth="1"/>
    <col min="16190" max="16192" width="10.140625" style="13" customWidth="1"/>
    <col min="16193" max="16195" width="9.85546875" style="13" bestFit="1" customWidth="1"/>
    <col min="16196" max="16196" width="9.85546875" style="13" customWidth="1"/>
    <col min="16197" max="16197" width="0" style="13" hidden="1" customWidth="1"/>
    <col min="16198" max="16198" width="10" style="13" customWidth="1"/>
    <col min="16199" max="16199" width="11.42578125" style="13" customWidth="1"/>
    <col min="16200" max="16200" width="11.7109375" style="13" customWidth="1"/>
    <col min="16201" max="16201" width="11.28515625" style="13" bestFit="1" customWidth="1"/>
    <col min="16202" max="16202" width="8.85546875" style="13" bestFit="1" customWidth="1"/>
    <col min="16203" max="16384" width="9.140625" style="13"/>
  </cols>
  <sheetData>
    <row r="1" spans="1:74" s="7" customFormat="1" ht="31.5" customHeight="1" x14ac:dyDescent="0.2">
      <c r="A1" s="1" t="s">
        <v>0</v>
      </c>
      <c r="B1" s="1"/>
      <c r="C1" s="2"/>
      <c r="D1" s="3"/>
      <c r="E1" s="4"/>
      <c r="F1" s="3"/>
      <c r="G1" s="3"/>
      <c r="H1" s="5"/>
      <c r="I1" s="5"/>
      <c r="J1" s="2"/>
      <c r="K1" s="5"/>
      <c r="L1" s="5"/>
      <c r="M1" s="5"/>
      <c r="N1" s="5"/>
      <c r="O1" s="5"/>
      <c r="P1" s="5"/>
      <c r="Q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4"/>
      <c r="BU1" s="3"/>
      <c r="BV1" s="6" t="s">
        <v>1</v>
      </c>
    </row>
    <row r="2" spans="1:74" ht="20.25" customHeight="1" x14ac:dyDescent="0.2">
      <c r="A2" s="8"/>
    </row>
    <row r="3" spans="1:74" s="7" customFormat="1" ht="15.75" thickBot="1" x14ac:dyDescent="0.25">
      <c r="A3" s="1" t="s">
        <v>2</v>
      </c>
      <c r="B3" s="1"/>
      <c r="C3" s="2"/>
      <c r="D3" s="3"/>
      <c r="E3" s="4"/>
      <c r="F3" s="3"/>
      <c r="G3" s="3"/>
      <c r="H3" s="5"/>
      <c r="I3" s="5"/>
      <c r="J3" s="2"/>
      <c r="K3" s="5"/>
      <c r="L3" s="5"/>
      <c r="M3" s="5"/>
      <c r="N3" s="5"/>
      <c r="O3" s="5"/>
      <c r="P3" s="5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4"/>
      <c r="BU3" s="3"/>
    </row>
    <row r="4" spans="1:74" s="45" customFormat="1" ht="75" customHeight="1" thickBot="1" x14ac:dyDescent="0.3">
      <c r="A4" s="14" t="s">
        <v>3</v>
      </c>
      <c r="B4" s="15" t="s">
        <v>4</v>
      </c>
      <c r="C4" s="16" t="s">
        <v>5</v>
      </c>
      <c r="D4" s="17" t="s">
        <v>6</v>
      </c>
      <c r="E4" s="18" t="s">
        <v>7</v>
      </c>
      <c r="F4" s="19" t="s">
        <v>8</v>
      </c>
      <c r="G4" s="20" t="s">
        <v>9</v>
      </c>
      <c r="H4" s="17" t="s">
        <v>10</v>
      </c>
      <c r="I4" s="21" t="s">
        <v>11</v>
      </c>
      <c r="J4" s="22" t="s">
        <v>12</v>
      </c>
      <c r="K4" s="18" t="s">
        <v>13</v>
      </c>
      <c r="L4" s="19" t="s">
        <v>14</v>
      </c>
      <c r="M4" s="23" t="s">
        <v>15</v>
      </c>
      <c r="N4" s="24" t="s">
        <v>16</v>
      </c>
      <c r="O4" s="19" t="s">
        <v>17</v>
      </c>
      <c r="P4" s="20" t="s">
        <v>18</v>
      </c>
      <c r="Q4" s="20" t="s">
        <v>19</v>
      </c>
      <c r="R4" s="25" t="s">
        <v>20</v>
      </c>
      <c r="S4" s="25" t="s">
        <v>21</v>
      </c>
      <c r="T4" s="26" t="s">
        <v>22</v>
      </c>
      <c r="U4" s="27" t="s">
        <v>23</v>
      </c>
      <c r="V4" s="28" t="s">
        <v>24</v>
      </c>
      <c r="W4" s="19" t="s">
        <v>25</v>
      </c>
      <c r="X4" s="20" t="s">
        <v>26</v>
      </c>
      <c r="Y4" s="20" t="s">
        <v>27</v>
      </c>
      <c r="Z4" s="29" t="s">
        <v>28</v>
      </c>
      <c r="AA4" s="30" t="s">
        <v>29</v>
      </c>
      <c r="AB4" s="31" t="s">
        <v>30</v>
      </c>
      <c r="AC4" s="32" t="s">
        <v>31</v>
      </c>
      <c r="AD4" s="33" t="s">
        <v>32</v>
      </c>
      <c r="AE4" s="31" t="s">
        <v>33</v>
      </c>
      <c r="AF4" s="32" t="s">
        <v>34</v>
      </c>
      <c r="AG4" s="20" t="s">
        <v>35</v>
      </c>
      <c r="AH4" s="19" t="s">
        <v>36</v>
      </c>
      <c r="AI4" s="34" t="s">
        <v>37</v>
      </c>
      <c r="AJ4" s="34" t="s">
        <v>38</v>
      </c>
      <c r="AK4" s="35" t="s">
        <v>39</v>
      </c>
      <c r="AL4" s="36" t="s">
        <v>40</v>
      </c>
      <c r="AM4" s="32" t="s">
        <v>41</v>
      </c>
      <c r="AN4" s="20" t="s">
        <v>42</v>
      </c>
      <c r="AO4" s="20" t="s">
        <v>43</v>
      </c>
      <c r="AP4" s="34" t="s">
        <v>44</v>
      </c>
      <c r="AQ4" s="37" t="s">
        <v>45</v>
      </c>
      <c r="AR4" s="36" t="s">
        <v>46</v>
      </c>
      <c r="AS4" s="32" t="s">
        <v>47</v>
      </c>
      <c r="AT4" s="20" t="s">
        <v>48</v>
      </c>
      <c r="AU4" s="20" t="s">
        <v>49</v>
      </c>
      <c r="AV4" s="34" t="s">
        <v>50</v>
      </c>
      <c r="AW4" s="37" t="s">
        <v>51</v>
      </c>
      <c r="AX4" s="36" t="s">
        <v>52</v>
      </c>
      <c r="AY4" s="32" t="s">
        <v>53</v>
      </c>
      <c r="AZ4" s="20" t="s">
        <v>54</v>
      </c>
      <c r="BA4" s="20" t="s">
        <v>55</v>
      </c>
      <c r="BB4" s="38" t="s">
        <v>56</v>
      </c>
      <c r="BC4" s="34" t="s">
        <v>57</v>
      </c>
      <c r="BD4" s="39" t="s">
        <v>58</v>
      </c>
      <c r="BE4" s="37" t="s">
        <v>59</v>
      </c>
      <c r="BF4" s="37" t="s">
        <v>60</v>
      </c>
      <c r="BG4" s="37" t="s">
        <v>61</v>
      </c>
      <c r="BH4" s="37" t="s">
        <v>62</v>
      </c>
      <c r="BI4" s="40" t="s">
        <v>63</v>
      </c>
      <c r="BJ4" s="36" t="s">
        <v>64</v>
      </c>
      <c r="BK4" s="32" t="s">
        <v>65</v>
      </c>
      <c r="BL4" s="20" t="s">
        <v>66</v>
      </c>
      <c r="BM4" s="20" t="s">
        <v>67</v>
      </c>
      <c r="BN4" s="34" t="s">
        <v>68</v>
      </c>
      <c r="BO4" s="40" t="s">
        <v>69</v>
      </c>
      <c r="BP4" s="40" t="s">
        <v>70</v>
      </c>
      <c r="BQ4" s="34" t="s">
        <v>71</v>
      </c>
      <c r="BR4" s="40" t="s">
        <v>72</v>
      </c>
      <c r="BS4" s="41" t="s">
        <v>73</v>
      </c>
      <c r="BT4" s="42" t="s">
        <v>74</v>
      </c>
      <c r="BU4" s="43" t="s">
        <v>75</v>
      </c>
      <c r="BV4" s="44" t="s">
        <v>76</v>
      </c>
    </row>
    <row r="5" spans="1:74" s="77" customFormat="1" ht="26.25" customHeight="1" x14ac:dyDescent="0.2">
      <c r="A5" s="46">
        <v>1</v>
      </c>
      <c r="B5" s="47" t="s">
        <v>77</v>
      </c>
      <c r="C5" s="48">
        <v>1088876</v>
      </c>
      <c r="D5" s="49">
        <v>100000</v>
      </c>
      <c r="E5" s="50">
        <v>83268</v>
      </c>
      <c r="F5" s="49">
        <f t="shared" ref="F5:F11" si="0">D5-E5</f>
        <v>16732</v>
      </c>
      <c r="G5" s="49"/>
      <c r="H5" s="49">
        <v>99128.21</v>
      </c>
      <c r="I5" s="49">
        <v>0</v>
      </c>
      <c r="J5" s="51">
        <f>H5+I5</f>
        <v>99128.21</v>
      </c>
      <c r="K5" s="52">
        <v>99118</v>
      </c>
      <c r="L5" s="49">
        <f>J5-K5</f>
        <v>10.210000000006403</v>
      </c>
      <c r="M5" s="53">
        <v>105482.01589274999</v>
      </c>
      <c r="N5" s="54">
        <v>105464</v>
      </c>
      <c r="O5" s="49">
        <f t="shared" ref="O5:O11" si="1">M5-N5</f>
        <v>18.015892749986961</v>
      </c>
      <c r="P5" s="49">
        <v>0</v>
      </c>
      <c r="Q5" s="49"/>
      <c r="R5" s="55">
        <f>E5+K5+N5</f>
        <v>287850</v>
      </c>
      <c r="S5" s="56">
        <f>V5+AB5+AE5</f>
        <v>252950</v>
      </c>
      <c r="T5" s="57">
        <v>85000</v>
      </c>
      <c r="U5" s="58">
        <f>Q5+T5</f>
        <v>85000</v>
      </c>
      <c r="V5" s="59">
        <v>84989</v>
      </c>
      <c r="W5" s="60">
        <f>U5-V5</f>
        <v>11</v>
      </c>
      <c r="X5" s="61"/>
      <c r="Y5" s="62"/>
      <c r="Z5" s="61">
        <v>85000</v>
      </c>
      <c r="AA5" s="63">
        <f>Y5+Z5</f>
        <v>85000</v>
      </c>
      <c r="AB5" s="64">
        <v>84993</v>
      </c>
      <c r="AC5" s="65">
        <f>AA5-AB5</f>
        <v>7</v>
      </c>
      <c r="AD5" s="66">
        <v>82988.646140999976</v>
      </c>
      <c r="AE5" s="64">
        <v>82968</v>
      </c>
      <c r="AF5" s="66">
        <f>AD5-AE5</f>
        <v>20.646140999975614</v>
      </c>
      <c r="AG5" s="66"/>
      <c r="AH5" s="67">
        <f t="shared" ref="AH5:AH13" si="2">AI5+AP5+AV5+BC5+BN5+BQ5</f>
        <v>667797.01</v>
      </c>
      <c r="AI5" s="67">
        <v>90000</v>
      </c>
      <c r="AJ5" s="67"/>
      <c r="AK5" s="68">
        <f>AI5+AJ5</f>
        <v>90000</v>
      </c>
      <c r="AL5" s="69">
        <v>89968.97</v>
      </c>
      <c r="AM5" s="70">
        <f t="shared" ref="AM5:AM10" si="3">AK5-AL5</f>
        <v>31.029999999998836</v>
      </c>
      <c r="AN5" s="67"/>
      <c r="AO5" s="67"/>
      <c r="AP5" s="67">
        <v>90000</v>
      </c>
      <c r="AQ5" s="71">
        <f>AP5</f>
        <v>90000</v>
      </c>
      <c r="AR5" s="69">
        <v>89960.98</v>
      </c>
      <c r="AS5" s="70">
        <f t="shared" ref="AS5:AS10" si="4">AQ5-AR5</f>
        <v>39.020000000004075</v>
      </c>
      <c r="AT5" s="67"/>
      <c r="AU5" s="67"/>
      <c r="AV5" s="67">
        <v>75000</v>
      </c>
      <c r="AW5" s="71">
        <f>AV5</f>
        <v>75000</v>
      </c>
      <c r="AX5" s="69">
        <v>74984.960000000006</v>
      </c>
      <c r="AY5" s="70">
        <f t="shared" ref="AY5:AY10" si="5">AW5-AX5</f>
        <v>15.039999999993597</v>
      </c>
      <c r="AZ5" s="66"/>
      <c r="BA5" s="66"/>
      <c r="BB5" s="69">
        <f t="shared" ref="BB5:BB22" si="6">AL5+AR5+AX5</f>
        <v>254914.91000000003</v>
      </c>
      <c r="BC5" s="67">
        <v>165000</v>
      </c>
      <c r="BD5" s="72">
        <f>BC5</f>
        <v>165000</v>
      </c>
      <c r="BE5" s="71"/>
      <c r="BF5" s="71"/>
      <c r="BG5" s="71"/>
      <c r="BH5" s="71"/>
      <c r="BI5" s="73">
        <f>BD5+BF5</f>
        <v>165000</v>
      </c>
      <c r="BJ5" s="69">
        <v>162153</v>
      </c>
      <c r="BK5" s="67">
        <f>BI5-BJ5</f>
        <v>2847</v>
      </c>
      <c r="BL5" s="67"/>
      <c r="BM5" s="67"/>
      <c r="BN5" s="67">
        <v>165000</v>
      </c>
      <c r="BO5" s="73">
        <f>BG5+BN5</f>
        <v>165000</v>
      </c>
      <c r="BP5" s="73">
        <f>BO5</f>
        <v>165000</v>
      </c>
      <c r="BQ5" s="67">
        <v>82797.009999999995</v>
      </c>
      <c r="BR5" s="73">
        <f>BH5+BQ5</f>
        <v>82797.009999999995</v>
      </c>
      <c r="BS5" s="74">
        <f>BJ5+BP5+BR5</f>
        <v>409950.01</v>
      </c>
      <c r="BT5" s="75">
        <f t="shared" ref="BT5:BT13" si="7">R5+S5+BB5+BS5</f>
        <v>1205664.92</v>
      </c>
      <c r="BU5" s="48">
        <f>R5+S5+AL5+AR5+AX5+BJ5</f>
        <v>957867.90999999992</v>
      </c>
      <c r="BV5" s="76">
        <f>-BK5</f>
        <v>-2847</v>
      </c>
    </row>
    <row r="6" spans="1:74" s="77" customFormat="1" ht="26.25" customHeight="1" x14ac:dyDescent="0.2">
      <c r="A6" s="46">
        <v>2</v>
      </c>
      <c r="B6" s="78" t="s">
        <v>78</v>
      </c>
      <c r="C6" s="79">
        <v>594486</v>
      </c>
      <c r="D6" s="80">
        <v>45200</v>
      </c>
      <c r="E6" s="81">
        <v>47870</v>
      </c>
      <c r="F6" s="82">
        <f t="shared" si="0"/>
        <v>-2670</v>
      </c>
      <c r="G6" s="49">
        <f>(C6+E6)/13</f>
        <v>49412</v>
      </c>
      <c r="H6" s="80">
        <v>45197.46</v>
      </c>
      <c r="I6" s="49">
        <f>G6*H25/100</f>
        <v>2636.4919277835565</v>
      </c>
      <c r="J6" s="51">
        <f>H6+I6</f>
        <v>47833.951927783557</v>
      </c>
      <c r="K6" s="52">
        <v>50359</v>
      </c>
      <c r="L6" s="82">
        <f>J6-K6</f>
        <v>-2525.048072216443</v>
      </c>
      <c r="M6" s="53">
        <v>47975.894652149997</v>
      </c>
      <c r="N6" s="83">
        <v>59243</v>
      </c>
      <c r="O6" s="82">
        <f t="shared" si="1"/>
        <v>-11267.105347850003</v>
      </c>
      <c r="P6" s="49">
        <f t="shared" ref="P6:P11" si="8">R6/3</f>
        <v>52490.666666666664</v>
      </c>
      <c r="Q6" s="49">
        <f>P6*P27/100</f>
        <v>418.01925907700524</v>
      </c>
      <c r="R6" s="84">
        <f>E6+K6+N6</f>
        <v>157472</v>
      </c>
      <c r="S6" s="56">
        <f t="shared" ref="S6:S22" si="9">V6+AB6+AE6</f>
        <v>152203</v>
      </c>
      <c r="T6" s="85">
        <v>62000</v>
      </c>
      <c r="U6" s="86">
        <f>Q6+T6</f>
        <v>62418.019259077002</v>
      </c>
      <c r="V6" s="87">
        <v>43853</v>
      </c>
      <c r="W6" s="88">
        <f t="shared" ref="W6:W22" si="10">U6-V6</f>
        <v>18565.019259077002</v>
      </c>
      <c r="X6" s="89"/>
      <c r="Y6" s="90"/>
      <c r="Z6" s="89">
        <v>62000</v>
      </c>
      <c r="AA6" s="91">
        <f t="shared" ref="AA6:AA22" si="11">Y6+Z6</f>
        <v>62000</v>
      </c>
      <c r="AB6" s="92">
        <v>56958</v>
      </c>
      <c r="AC6" s="93">
        <f>AA6-AB6</f>
        <v>5042</v>
      </c>
      <c r="AD6" s="94">
        <v>60897.438371199998</v>
      </c>
      <c r="AE6" s="92">
        <v>51392</v>
      </c>
      <c r="AF6" s="66">
        <f t="shared" ref="AF6:AF11" si="12">AD6-AE6</f>
        <v>9505.4383711999981</v>
      </c>
      <c r="AG6" s="66"/>
      <c r="AH6" s="67">
        <f t="shared" si="2"/>
        <v>316204.09999999998</v>
      </c>
      <c r="AI6" s="67">
        <v>79000</v>
      </c>
      <c r="AJ6" s="67"/>
      <c r="AK6" s="68">
        <f>AI6+AJ6</f>
        <v>79000</v>
      </c>
      <c r="AL6" s="69">
        <v>50899.07</v>
      </c>
      <c r="AM6" s="70">
        <f t="shared" si="3"/>
        <v>28100.93</v>
      </c>
      <c r="AN6" s="67"/>
      <c r="AO6" s="67"/>
      <c r="AP6" s="67">
        <v>79000</v>
      </c>
      <c r="AQ6" s="71">
        <f>AP6</f>
        <v>79000</v>
      </c>
      <c r="AR6" s="69">
        <v>47919.66</v>
      </c>
      <c r="AS6" s="70">
        <f t="shared" si="4"/>
        <v>31080.339999999997</v>
      </c>
      <c r="AT6" s="67"/>
      <c r="AU6" s="67"/>
      <c r="AV6" s="67">
        <v>55000</v>
      </c>
      <c r="AW6" s="71">
        <f>AV6</f>
        <v>55000</v>
      </c>
      <c r="AX6" s="69">
        <v>57098.38</v>
      </c>
      <c r="AY6" s="95">
        <f t="shared" si="5"/>
        <v>-2098.3799999999974</v>
      </c>
      <c r="AZ6" s="66">
        <f>(R6+S6+AL6+AR6+AX6)/9</f>
        <v>51732.456666666665</v>
      </c>
      <c r="BA6" s="66">
        <f>AZ6*BA25/100</f>
        <v>118.78999990053507</v>
      </c>
      <c r="BB6" s="69">
        <f t="shared" si="6"/>
        <v>155917.11000000002</v>
      </c>
      <c r="BC6" s="67">
        <v>72000</v>
      </c>
      <c r="BD6" s="72">
        <f>BA6+BC6-12118.79</f>
        <v>59999.99999990053</v>
      </c>
      <c r="BE6" s="71">
        <v>60639.02</v>
      </c>
      <c r="BF6" s="71"/>
      <c r="BG6" s="71">
        <v>30000</v>
      </c>
      <c r="BH6" s="71">
        <v>30639.02</v>
      </c>
      <c r="BI6" s="73">
        <f t="shared" ref="BI6:BI22" si="13">BD6+BF6</f>
        <v>59999.99999990053</v>
      </c>
      <c r="BJ6" s="69">
        <v>62856.93</v>
      </c>
      <c r="BK6" s="95">
        <f>BI6-BJ6</f>
        <v>-2856.9300000994699</v>
      </c>
      <c r="BL6" s="67">
        <f>(R6+S6+AL6+AR6+AX6+BJ6)/10</f>
        <v>52844.904000000002</v>
      </c>
      <c r="BM6" s="67">
        <f>BL6*BO25/100</f>
        <v>376.22928795886372</v>
      </c>
      <c r="BN6" s="67">
        <v>30000</v>
      </c>
      <c r="BO6" s="73">
        <f t="shared" ref="BO6:BO22" si="14">BG6+BN6</f>
        <v>60000</v>
      </c>
      <c r="BP6" s="73">
        <f>BM6+BO6</f>
        <v>60376.229287958864</v>
      </c>
      <c r="BQ6" s="67">
        <v>1204.0999999999999</v>
      </c>
      <c r="BR6" s="73">
        <f>BH6+BQ6+12118.79</f>
        <v>43961.91</v>
      </c>
      <c r="BS6" s="74">
        <f t="shared" ref="BS6:BS13" si="15">BJ6+BP6+BR6</f>
        <v>167195.06928795888</v>
      </c>
      <c r="BT6" s="75">
        <f t="shared" si="7"/>
        <v>632787.17928795889</v>
      </c>
      <c r="BU6" s="48">
        <f t="shared" ref="BU6:BU13" si="16">R6+S6+AL6+AR6+AX6+BJ6</f>
        <v>528449.04</v>
      </c>
      <c r="BV6" s="96">
        <f>+BM6</f>
        <v>376.22928795886372</v>
      </c>
    </row>
    <row r="7" spans="1:74" s="77" customFormat="1" ht="24" customHeight="1" x14ac:dyDescent="0.2">
      <c r="A7" s="46">
        <v>3</v>
      </c>
      <c r="B7" s="97" t="s">
        <v>79</v>
      </c>
      <c r="C7" s="79">
        <v>1146095</v>
      </c>
      <c r="D7" s="80">
        <f>25000+90</f>
        <v>25090</v>
      </c>
      <c r="E7" s="81">
        <v>98360</v>
      </c>
      <c r="F7" s="82">
        <f t="shared" si="0"/>
        <v>-73270</v>
      </c>
      <c r="G7" s="49">
        <f>(C7+E7)/13</f>
        <v>95727.307692307688</v>
      </c>
      <c r="H7" s="80">
        <f>23850.99-90</f>
        <v>23760.99</v>
      </c>
      <c r="I7" s="49">
        <f>G7*H25/100</f>
        <v>5107.7526511621072</v>
      </c>
      <c r="J7" s="51">
        <f t="shared" ref="J7:J22" si="17">H7+I7</f>
        <v>28868.742651162109</v>
      </c>
      <c r="K7" s="52">
        <v>103795</v>
      </c>
      <c r="L7" s="82">
        <f t="shared" ref="L7:L22" si="18">J7-K7</f>
        <v>-74926.257348837884</v>
      </c>
      <c r="M7" s="53">
        <v>26002.566344999999</v>
      </c>
      <c r="N7" s="83">
        <v>77590</v>
      </c>
      <c r="O7" s="82">
        <f t="shared" si="1"/>
        <v>-51587.433655000001</v>
      </c>
      <c r="P7" s="49">
        <f t="shared" si="8"/>
        <v>93248.333333333328</v>
      </c>
      <c r="Q7" s="49">
        <f>P7*P27/100</f>
        <v>742.60057426397611</v>
      </c>
      <c r="R7" s="84">
        <f t="shared" ref="R7:R22" si="19">E7+K7+N7</f>
        <v>279745</v>
      </c>
      <c r="S7" s="56">
        <f t="shared" si="9"/>
        <v>204630</v>
      </c>
      <c r="T7" s="85">
        <v>15000</v>
      </c>
      <c r="U7" s="86">
        <f t="shared" ref="U7:U22" si="20">Q7+T7</f>
        <v>15742.600574263975</v>
      </c>
      <c r="V7" s="87">
        <v>50520</v>
      </c>
      <c r="W7" s="98">
        <f t="shared" si="10"/>
        <v>-34777.399425736025</v>
      </c>
      <c r="X7" s="89">
        <f>(R7+V7)/4</f>
        <v>82566.25</v>
      </c>
      <c r="Y7" s="90">
        <f>X7*X27/100</f>
        <v>5835.6280294288272</v>
      </c>
      <c r="Z7" s="89">
        <v>15000</v>
      </c>
      <c r="AA7" s="91">
        <f t="shared" si="11"/>
        <v>20835.628029428826</v>
      </c>
      <c r="AB7" s="92">
        <v>95880</v>
      </c>
      <c r="AC7" s="99">
        <f t="shared" ref="AC7:AC22" si="21">AA7-AB7</f>
        <v>-75044.37197057117</v>
      </c>
      <c r="AD7" s="94">
        <v>10496.521430000001</v>
      </c>
      <c r="AE7" s="92">
        <v>58230</v>
      </c>
      <c r="AF7" s="95">
        <f t="shared" si="12"/>
        <v>-47733.478569999999</v>
      </c>
      <c r="AG7" s="66">
        <f>(R7+S7)/6</f>
        <v>80729.166666666672</v>
      </c>
      <c r="AH7" s="67">
        <f t="shared" si="2"/>
        <v>86076.73</v>
      </c>
      <c r="AI7" s="67">
        <v>21000</v>
      </c>
      <c r="AJ7" s="67">
        <f>AG7*AH25/100</f>
        <v>4441.5082841170861</v>
      </c>
      <c r="AK7" s="68">
        <f t="shared" ref="AK7:AK22" si="22">AI7+AJ7</f>
        <v>25441.508284117088</v>
      </c>
      <c r="AL7" s="69">
        <v>61257.52</v>
      </c>
      <c r="AM7" s="95">
        <f t="shared" si="3"/>
        <v>-35816.011715882909</v>
      </c>
      <c r="AN7" s="67">
        <f>(R7+S7+AL7)/7</f>
        <v>77947.502857142856</v>
      </c>
      <c r="AO7" s="67">
        <f>AN7*AO25/100</f>
        <v>3953.1157510115668</v>
      </c>
      <c r="AP7" s="67">
        <v>21000</v>
      </c>
      <c r="AQ7" s="71">
        <f>AO7+AP7+1399.92</f>
        <v>26353.035751011565</v>
      </c>
      <c r="AR7" s="69">
        <v>71573.039999999994</v>
      </c>
      <c r="AS7" s="95">
        <f t="shared" si="4"/>
        <v>-45220.004248988429</v>
      </c>
      <c r="AT7" s="67">
        <f>(R7+S7+AL7+AR7)/8</f>
        <v>77150.695000000007</v>
      </c>
      <c r="AU7" s="67">
        <f>AT7*AW25/100</f>
        <v>3918.077447088569</v>
      </c>
      <c r="AV7" s="67">
        <f>21000-1399.92</f>
        <v>19600.080000000002</v>
      </c>
      <c r="AW7" s="71">
        <f t="shared" ref="AW7:AW13" si="23">AU7+AV7</f>
        <v>23518.157447088572</v>
      </c>
      <c r="AX7" s="69">
        <v>76743.88</v>
      </c>
      <c r="AY7" s="95">
        <f t="shared" si="5"/>
        <v>-53225.722552911437</v>
      </c>
      <c r="AZ7" s="66">
        <f>(R7+S7+AL7+AR7+AX7)/9</f>
        <v>77105.493333333347</v>
      </c>
      <c r="BA7" s="66">
        <f>AZ7*BA25/100</f>
        <v>177.05251471846543</v>
      </c>
      <c r="BB7" s="69">
        <f t="shared" si="6"/>
        <v>209574.44</v>
      </c>
      <c r="BC7" s="67">
        <v>21000</v>
      </c>
      <c r="BD7" s="72">
        <f t="shared" ref="BD7:BD13" si="24">BA7+BC7</f>
        <v>21177.052514718467</v>
      </c>
      <c r="BE7" s="71">
        <v>15893.06</v>
      </c>
      <c r="BF7" s="71"/>
      <c r="BG7" s="71">
        <v>15893.06</v>
      </c>
      <c r="BH7" s="71"/>
      <c r="BI7" s="73">
        <f>BD7+BF7+691.23</f>
        <v>21868.282514718467</v>
      </c>
      <c r="BJ7" s="69">
        <v>89402.28</v>
      </c>
      <c r="BK7" s="95">
        <f t="shared" ref="BK7:BK13" si="25">BI7-BJ7</f>
        <v>-67533.997485281536</v>
      </c>
      <c r="BL7" s="67">
        <f t="shared" ref="BL7:BL13" si="26">(R7+S7+AL7+AR7+AX7+BJ7)/10</f>
        <v>78335.172000000006</v>
      </c>
      <c r="BM7" s="67">
        <f>BL7*BO25/100</f>
        <v>557.70724805735517</v>
      </c>
      <c r="BN7" s="67">
        <v>3000</v>
      </c>
      <c r="BO7" s="73">
        <f>BG7+BN7-691.23</f>
        <v>18201.829999999998</v>
      </c>
      <c r="BP7" s="73">
        <f t="shared" ref="BP7:BP13" si="27">BM7+BO7</f>
        <v>18759.537248057353</v>
      </c>
      <c r="BQ7" s="67">
        <v>476.65</v>
      </c>
      <c r="BR7" s="73">
        <f t="shared" ref="BR7:BR22" si="28">BH7+BQ7</f>
        <v>476.65</v>
      </c>
      <c r="BS7" s="74">
        <f t="shared" si="15"/>
        <v>108638.46724805735</v>
      </c>
      <c r="BT7" s="75">
        <f t="shared" si="7"/>
        <v>802587.90724805731</v>
      </c>
      <c r="BU7" s="48">
        <f t="shared" si="16"/>
        <v>783351.72000000009</v>
      </c>
      <c r="BV7" s="96">
        <f>+BM7</f>
        <v>557.70724805735517</v>
      </c>
    </row>
    <row r="8" spans="1:74" s="77" customFormat="1" ht="24" customHeight="1" x14ac:dyDescent="0.2">
      <c r="A8" s="46">
        <v>4</v>
      </c>
      <c r="B8" s="100" t="s">
        <v>80</v>
      </c>
      <c r="C8" s="79">
        <v>387795</v>
      </c>
      <c r="D8" s="80">
        <f>35000+3510</f>
        <v>38510</v>
      </c>
      <c r="E8" s="81">
        <v>119660</v>
      </c>
      <c r="F8" s="82">
        <f t="shared" si="0"/>
        <v>-81150</v>
      </c>
      <c r="G8" s="49">
        <f>(C8+E8)/4</f>
        <v>126863.75</v>
      </c>
      <c r="H8" s="80">
        <f>35062.2-3510</f>
        <v>31552.199999999997</v>
      </c>
      <c r="I8" s="49">
        <f>G8*H25/100</f>
        <v>6769.1097871640732</v>
      </c>
      <c r="J8" s="51">
        <f t="shared" si="17"/>
        <v>38321.309787164071</v>
      </c>
      <c r="K8" s="52">
        <v>125865</v>
      </c>
      <c r="L8" s="82">
        <f t="shared" si="18"/>
        <v>-87543.690212835936</v>
      </c>
      <c r="M8" s="53">
        <f>37054.885194+0.11</f>
        <v>37054.995194000003</v>
      </c>
      <c r="N8" s="83">
        <v>158190</v>
      </c>
      <c r="O8" s="82">
        <f t="shared" si="1"/>
        <v>-121135.004806</v>
      </c>
      <c r="P8" s="49">
        <f t="shared" si="8"/>
        <v>134571.66666666666</v>
      </c>
      <c r="Q8" s="49">
        <f>P8*P27/100</f>
        <v>1071.686681938841</v>
      </c>
      <c r="R8" s="84">
        <f t="shared" si="19"/>
        <v>403715</v>
      </c>
      <c r="S8" s="56">
        <f t="shared" si="9"/>
        <v>556665</v>
      </c>
      <c r="T8" s="85">
        <f>35000-0.11</f>
        <v>34999.89</v>
      </c>
      <c r="U8" s="86">
        <f>Q8+T8+3198.42</f>
        <v>39269.996681938836</v>
      </c>
      <c r="V8" s="87">
        <v>131395</v>
      </c>
      <c r="W8" s="98">
        <f t="shared" si="10"/>
        <v>-92125.003318061164</v>
      </c>
      <c r="X8" s="89">
        <f>(R8+V8)/4</f>
        <v>133777.5</v>
      </c>
      <c r="Y8" s="90">
        <f>X8*X27/100</f>
        <v>9455.1433389177182</v>
      </c>
      <c r="Z8" s="89">
        <f>35000-3198.42</f>
        <v>31801.58</v>
      </c>
      <c r="AA8" s="91">
        <f>Y8+Z8+2668.28</f>
        <v>43925.003338917719</v>
      </c>
      <c r="AB8" s="92">
        <v>217625</v>
      </c>
      <c r="AC8" s="99">
        <f t="shared" si="21"/>
        <v>-173699.99666108229</v>
      </c>
      <c r="AD8" s="94">
        <f>34832.504532-2668.28+4850.78</f>
        <v>37015.004531999999</v>
      </c>
      <c r="AE8" s="92">
        <v>207645</v>
      </c>
      <c r="AF8" s="95">
        <f t="shared" si="12"/>
        <v>-170629.99546800001</v>
      </c>
      <c r="AG8" s="66">
        <f>(R8+S8)/6</f>
        <v>160063.33333333334</v>
      </c>
      <c r="AH8" s="67">
        <f t="shared" si="2"/>
        <v>232086.94</v>
      </c>
      <c r="AI8" s="67">
        <f>60000-4850.78</f>
        <v>55149.22</v>
      </c>
      <c r="AJ8" s="67">
        <f>AG8*AH25/100</f>
        <v>8806.2673050846297</v>
      </c>
      <c r="AK8" s="68">
        <f>AI8+AJ8+1603.03</f>
        <v>65558.517305084635</v>
      </c>
      <c r="AL8" s="69">
        <v>240214.52</v>
      </c>
      <c r="AM8" s="95">
        <f t="shared" si="3"/>
        <v>-174656.00269491534</v>
      </c>
      <c r="AN8" s="67">
        <f>(R8+S8+AL8)/7</f>
        <v>171513.50285714286</v>
      </c>
      <c r="AO8" s="67">
        <f>AN8*AO25/100</f>
        <v>8698.3252163748803</v>
      </c>
      <c r="AP8" s="67">
        <f>60000-1603.03</f>
        <v>58396.97</v>
      </c>
      <c r="AQ8" s="71">
        <f>AO8+AP8</f>
        <v>67095.295216374885</v>
      </c>
      <c r="AR8" s="69">
        <v>248266.52</v>
      </c>
      <c r="AS8" s="95">
        <f t="shared" si="4"/>
        <v>-181171.2247836251</v>
      </c>
      <c r="AT8" s="67">
        <f>(R8+S8+AL8+AR8)/8</f>
        <v>181107.63</v>
      </c>
      <c r="AU8" s="67">
        <f>AT8*AW25/100</f>
        <v>9197.5026355713471</v>
      </c>
      <c r="AV8" s="67">
        <v>60000</v>
      </c>
      <c r="AW8" s="71">
        <f t="shared" si="23"/>
        <v>69197.502635571349</v>
      </c>
      <c r="AX8" s="69">
        <v>272428.15999999997</v>
      </c>
      <c r="AY8" s="95">
        <f t="shared" si="5"/>
        <v>-203230.65736442863</v>
      </c>
      <c r="AZ8" s="66">
        <f>(R8+S8+AL8+AR8+AX8)/9</f>
        <v>191254.35555555555</v>
      </c>
      <c r="BA8" s="66">
        <f>AZ8*BA25/100</f>
        <v>439.16539714728424</v>
      </c>
      <c r="BB8" s="69">
        <f t="shared" si="6"/>
        <v>760909.2</v>
      </c>
      <c r="BC8" s="67">
        <v>57000</v>
      </c>
      <c r="BD8" s="72">
        <f t="shared" si="24"/>
        <v>57439.165397147284</v>
      </c>
      <c r="BE8" s="71">
        <v>45892.01</v>
      </c>
      <c r="BF8" s="71">
        <v>13313.59</v>
      </c>
      <c r="BG8" s="71">
        <v>32578.42</v>
      </c>
      <c r="BH8" s="71"/>
      <c r="BI8" s="73">
        <f>BD8+BF8+632</f>
        <v>71384.755397147281</v>
      </c>
      <c r="BJ8" s="69">
        <v>258647.76</v>
      </c>
      <c r="BK8" s="95">
        <f t="shared" si="25"/>
        <v>-187263.00460285274</v>
      </c>
      <c r="BL8" s="67">
        <f t="shared" si="26"/>
        <v>197993.696</v>
      </c>
      <c r="BM8" s="67">
        <f>BL8*BO25/100</f>
        <v>1409.6160959328022</v>
      </c>
      <c r="BN8" s="67">
        <v>1000</v>
      </c>
      <c r="BO8" s="73">
        <f>BG8+BN8-632</f>
        <v>32946.42</v>
      </c>
      <c r="BP8" s="73">
        <f t="shared" si="27"/>
        <v>34356.036095932803</v>
      </c>
      <c r="BQ8" s="67">
        <v>540.75</v>
      </c>
      <c r="BR8" s="73">
        <f t="shared" si="28"/>
        <v>540.75</v>
      </c>
      <c r="BS8" s="74">
        <f t="shared" si="15"/>
        <v>293544.54609593283</v>
      </c>
      <c r="BT8" s="75">
        <f t="shared" si="7"/>
        <v>2014833.7460959328</v>
      </c>
      <c r="BU8" s="48">
        <f t="shared" si="16"/>
        <v>1979936.96</v>
      </c>
      <c r="BV8" s="96">
        <f>+BM8</f>
        <v>1409.6160959328022</v>
      </c>
    </row>
    <row r="9" spans="1:74" s="77" customFormat="1" ht="24" customHeight="1" x14ac:dyDescent="0.2">
      <c r="A9" s="46">
        <v>5</v>
      </c>
      <c r="B9" s="100" t="s">
        <v>81</v>
      </c>
      <c r="C9" s="79">
        <v>151115</v>
      </c>
      <c r="D9" s="80">
        <v>14200</v>
      </c>
      <c r="E9" s="81">
        <v>41205</v>
      </c>
      <c r="F9" s="82">
        <f t="shared" si="0"/>
        <v>-27005</v>
      </c>
      <c r="G9" s="49">
        <f>(C9+E9)/4</f>
        <v>48080</v>
      </c>
      <c r="H9" s="80">
        <v>14148.32</v>
      </c>
      <c r="I9" s="49">
        <f>G9*H25/100</f>
        <v>2565.419976682454</v>
      </c>
      <c r="J9" s="51">
        <f t="shared" si="17"/>
        <v>16713.739976682453</v>
      </c>
      <c r="K9" s="52">
        <v>55650</v>
      </c>
      <c r="L9" s="82">
        <f t="shared" si="18"/>
        <v>-38936.260023317547</v>
      </c>
      <c r="M9" s="53">
        <v>19474.580000000002</v>
      </c>
      <c r="N9" s="83">
        <v>45755</v>
      </c>
      <c r="O9" s="82">
        <f t="shared" si="1"/>
        <v>-26280.42</v>
      </c>
      <c r="P9" s="49">
        <f t="shared" si="8"/>
        <v>47536.666666666664</v>
      </c>
      <c r="Q9" s="49">
        <f>P9*P27/100</f>
        <v>378.56715185538843</v>
      </c>
      <c r="R9" s="84">
        <f t="shared" si="19"/>
        <v>142610</v>
      </c>
      <c r="S9" s="56">
        <f t="shared" si="9"/>
        <v>179756</v>
      </c>
      <c r="T9" s="85">
        <v>18500</v>
      </c>
      <c r="U9" s="86">
        <f t="shared" si="20"/>
        <v>18878.56715185539</v>
      </c>
      <c r="V9" s="87">
        <v>65430</v>
      </c>
      <c r="W9" s="98">
        <f t="shared" si="10"/>
        <v>-46551.432848144614</v>
      </c>
      <c r="X9" s="89">
        <f>(R9+V9)/4</f>
        <v>52010</v>
      </c>
      <c r="Y9" s="90">
        <f>X9*X27/100</f>
        <v>3675.9694646492158</v>
      </c>
      <c r="Z9" s="89">
        <v>18500</v>
      </c>
      <c r="AA9" s="91">
        <f>Y9+Z9+1504.03</f>
        <v>23679.999464649216</v>
      </c>
      <c r="AB9" s="92">
        <v>74065</v>
      </c>
      <c r="AC9" s="99">
        <f t="shared" si="21"/>
        <v>-50385.000535350788</v>
      </c>
      <c r="AD9" s="94">
        <f>17453.30370246-1504.03</f>
        <v>15949.273702460001</v>
      </c>
      <c r="AE9" s="92">
        <v>40261</v>
      </c>
      <c r="AF9" s="95">
        <f t="shared" si="12"/>
        <v>-24311.726297540001</v>
      </c>
      <c r="AG9" s="66">
        <f>(R9+S9)/6</f>
        <v>53727.666666666664</v>
      </c>
      <c r="AH9" s="67">
        <f t="shared" si="2"/>
        <v>106074.47</v>
      </c>
      <c r="AI9" s="67">
        <v>28000</v>
      </c>
      <c r="AJ9" s="67">
        <f>AG9*AH25/100</f>
        <v>2955.9561486816797</v>
      </c>
      <c r="AK9" s="68">
        <f t="shared" si="22"/>
        <v>30955.956148681678</v>
      </c>
      <c r="AL9" s="69">
        <v>43185.07</v>
      </c>
      <c r="AM9" s="95">
        <f t="shared" si="3"/>
        <v>-12229.113851318321</v>
      </c>
      <c r="AN9" s="67">
        <f>(R9+S9+AL9)/7</f>
        <v>52221.58142857143</v>
      </c>
      <c r="AO9" s="67">
        <f>AO25*AN9/100</f>
        <v>2648.4229580306755</v>
      </c>
      <c r="AP9" s="67">
        <v>28000</v>
      </c>
      <c r="AQ9" s="71">
        <f>AO9+AP9+3126.37</f>
        <v>33774.792958030674</v>
      </c>
      <c r="AR9" s="69">
        <v>64276.87</v>
      </c>
      <c r="AS9" s="95">
        <f t="shared" si="4"/>
        <v>-30502.077041969329</v>
      </c>
      <c r="AT9" s="67">
        <f>(R8+S8+AL9+AR9)/8</f>
        <v>133480.24249999999</v>
      </c>
      <c r="AU9" s="67">
        <f>AT9*AW25/100</f>
        <v>6778.7584774338466</v>
      </c>
      <c r="AV9" s="67">
        <f>28000-3126.37</f>
        <v>24873.63</v>
      </c>
      <c r="AW9" s="71">
        <f>AU9+AV9+3008.17</f>
        <v>34660.558477433849</v>
      </c>
      <c r="AX9" s="69">
        <v>91749.07</v>
      </c>
      <c r="AY9" s="95">
        <f t="shared" si="5"/>
        <v>-57088.511522566158</v>
      </c>
      <c r="AZ9" s="66">
        <f>(R9+S9+AL9+AR9+AX9)/9</f>
        <v>57953.001111111109</v>
      </c>
      <c r="BA9" s="66">
        <f>AZ9*BA25/100</f>
        <v>133.07384647480683</v>
      </c>
      <c r="BB9" s="69">
        <f t="shared" si="6"/>
        <v>199211.01</v>
      </c>
      <c r="BC9" s="67">
        <f>27000-3008.17</f>
        <v>23991.83</v>
      </c>
      <c r="BD9" s="72">
        <f t="shared" si="24"/>
        <v>24124.903846474808</v>
      </c>
      <c r="BE9" s="71">
        <v>20386.52</v>
      </c>
      <c r="BF9" s="71"/>
      <c r="BG9" s="71">
        <v>20386.52</v>
      </c>
      <c r="BH9" s="71"/>
      <c r="BI9" s="73">
        <f>BD9+BF9+39.83</f>
        <v>24164.73384647481</v>
      </c>
      <c r="BJ9" s="69">
        <v>74732.789999999994</v>
      </c>
      <c r="BK9" s="95">
        <f t="shared" si="25"/>
        <v>-50568.056153525184</v>
      </c>
      <c r="BL9" s="67">
        <f t="shared" si="26"/>
        <v>59630.98</v>
      </c>
      <c r="BM9" s="67">
        <f>BL9*BO25/100</f>
        <v>424.54275526149581</v>
      </c>
      <c r="BN9" s="67">
        <v>1000</v>
      </c>
      <c r="BO9" s="73">
        <f>BG9+BN9-39.83</f>
        <v>21346.69</v>
      </c>
      <c r="BP9" s="73">
        <f t="shared" si="27"/>
        <v>21771.232755261495</v>
      </c>
      <c r="BQ9" s="67">
        <v>209.01</v>
      </c>
      <c r="BR9" s="73">
        <f t="shared" si="28"/>
        <v>209.01</v>
      </c>
      <c r="BS9" s="74">
        <f t="shared" si="15"/>
        <v>96713.032755261476</v>
      </c>
      <c r="BT9" s="75">
        <f t="shared" si="7"/>
        <v>618290.04275526153</v>
      </c>
      <c r="BU9" s="48">
        <f t="shared" si="16"/>
        <v>596309.80000000005</v>
      </c>
      <c r="BV9" s="96">
        <f>+BM9</f>
        <v>424.54275526149581</v>
      </c>
    </row>
    <row r="10" spans="1:74" s="77" customFormat="1" ht="26.25" customHeight="1" x14ac:dyDescent="0.2">
      <c r="A10" s="46">
        <v>6</v>
      </c>
      <c r="B10" s="78" t="s">
        <v>82</v>
      </c>
      <c r="C10" s="79">
        <v>161004</v>
      </c>
      <c r="D10" s="80">
        <f>12500+1249</f>
        <v>13749</v>
      </c>
      <c r="E10" s="81">
        <v>13749</v>
      </c>
      <c r="F10" s="53">
        <f t="shared" si="0"/>
        <v>0</v>
      </c>
      <c r="G10" s="49">
        <f>(C10+E10)/13</f>
        <v>13442.538461538461</v>
      </c>
      <c r="H10" s="80">
        <f>12334.88-1249</f>
        <v>11085.88</v>
      </c>
      <c r="I10" s="49">
        <f>G10*H25/100</f>
        <v>717.25783499486249</v>
      </c>
      <c r="J10" s="51">
        <f>H10+I10+363.86</f>
        <v>12166.997834994861</v>
      </c>
      <c r="K10" s="52">
        <f>12167</f>
        <v>12167</v>
      </c>
      <c r="L10" s="53">
        <f t="shared" si="18"/>
        <v>-2.1650051385222469E-3</v>
      </c>
      <c r="M10" s="53">
        <f>13134.80908359-363.86+308.05</f>
        <v>13078.999083589999</v>
      </c>
      <c r="N10" s="83">
        <v>13079</v>
      </c>
      <c r="O10" s="49">
        <f t="shared" si="1"/>
        <v>-9.1641000108211301E-4</v>
      </c>
      <c r="P10" s="49">
        <f t="shared" si="8"/>
        <v>12998.333333333334</v>
      </c>
      <c r="Q10" s="49">
        <f>P10*P27/100</f>
        <v>103.51466297314965</v>
      </c>
      <c r="R10" s="84">
        <f t="shared" si="19"/>
        <v>38995</v>
      </c>
      <c r="S10" s="56">
        <f t="shared" si="9"/>
        <v>37051</v>
      </c>
      <c r="T10" s="85">
        <f>12500-308.05</f>
        <v>12191.95</v>
      </c>
      <c r="U10" s="86">
        <f>Q10+T10+1091.54</f>
        <v>13387.004662973151</v>
      </c>
      <c r="V10" s="87">
        <v>13387</v>
      </c>
      <c r="W10" s="88">
        <f t="shared" si="10"/>
        <v>4.662973151425831E-3</v>
      </c>
      <c r="X10" s="89">
        <f>(R10+V10)/4</f>
        <v>13095.5</v>
      </c>
      <c r="Y10" s="90">
        <f>X10*X27/100</f>
        <v>925.56543211524331</v>
      </c>
      <c r="Z10" s="89">
        <f>12500-1091.54</f>
        <v>11408.46</v>
      </c>
      <c r="AA10" s="91">
        <f>Y10+Z10+1081.97</f>
        <v>13415.995432115242</v>
      </c>
      <c r="AB10" s="92">
        <v>13416</v>
      </c>
      <c r="AC10" s="93">
        <f t="shared" si="21"/>
        <v>-4.5678847582166782E-3</v>
      </c>
      <c r="AD10" s="94">
        <f>11344.48185546-1081.97</f>
        <v>10262.511855460001</v>
      </c>
      <c r="AE10" s="92">
        <v>10248</v>
      </c>
      <c r="AF10" s="66">
        <f t="shared" si="12"/>
        <v>14.511855460001243</v>
      </c>
      <c r="AG10" s="66">
        <f>(R10+S10)/6</f>
        <v>12674.333333333334</v>
      </c>
      <c r="AH10" s="67">
        <f t="shared" si="2"/>
        <v>72362.310000000012</v>
      </c>
      <c r="AI10" s="67">
        <v>18000</v>
      </c>
      <c r="AJ10" s="67">
        <f>AG10*AH25/100</f>
        <v>697.30877723657909</v>
      </c>
      <c r="AK10" s="68">
        <f>AI10+AJ10+1063.61</f>
        <v>19760.91877723658</v>
      </c>
      <c r="AL10" s="69">
        <v>19760.919999999998</v>
      </c>
      <c r="AM10" s="67">
        <f t="shared" si="3"/>
        <v>-1.2227634178998414E-3</v>
      </c>
      <c r="AN10" s="67">
        <f>(R10+S10+AL10)/7</f>
        <v>13686.702857142856</v>
      </c>
      <c r="AO10" s="67">
        <f>AO25*AN10/100</f>
        <v>694.12256532639412</v>
      </c>
      <c r="AP10" s="67">
        <f>18000-1063.61</f>
        <v>16936.39</v>
      </c>
      <c r="AQ10" s="71">
        <f>AO10+AP10+1754.82</f>
        <v>19385.332565326393</v>
      </c>
      <c r="AR10" s="69">
        <v>19385.330000000002</v>
      </c>
      <c r="AS10" s="67">
        <f t="shared" si="4"/>
        <v>2.5653263910498936E-3</v>
      </c>
      <c r="AT10" s="67">
        <f>(R10+S10+AL10+AR10)/8</f>
        <v>14399.03125</v>
      </c>
      <c r="AU10" s="67">
        <f>AT10*AW25/100</f>
        <v>731.25095762972092</v>
      </c>
      <c r="AV10" s="67">
        <f>18000-1754.82</f>
        <v>16245.18</v>
      </c>
      <c r="AW10" s="71">
        <f t="shared" si="23"/>
        <v>16976.43095762972</v>
      </c>
      <c r="AX10" s="69">
        <v>16973.240000000002</v>
      </c>
      <c r="AY10" s="70">
        <f t="shared" si="5"/>
        <v>3.1909576297184685</v>
      </c>
      <c r="AZ10" s="66">
        <f>(R10+S10+AL10+AR10+AX10)/9</f>
        <v>14685.054444444444</v>
      </c>
      <c r="BA10" s="66">
        <f>AZ10*BA25/100</f>
        <v>33.720370699482352</v>
      </c>
      <c r="BB10" s="69">
        <f t="shared" si="6"/>
        <v>56119.490000000005</v>
      </c>
      <c r="BC10" s="67">
        <v>18000</v>
      </c>
      <c r="BD10" s="72">
        <f t="shared" si="24"/>
        <v>18033.720370699481</v>
      </c>
      <c r="BE10" s="71">
        <v>13659.1</v>
      </c>
      <c r="BF10" s="71"/>
      <c r="BG10" s="71">
        <v>13659.1</v>
      </c>
      <c r="BH10" s="71"/>
      <c r="BI10" s="73">
        <f>BD10+BF10+1795.82</f>
        <v>19829.54037069948</v>
      </c>
      <c r="BJ10" s="69">
        <v>19829.54</v>
      </c>
      <c r="BK10" s="67">
        <f t="shared" si="25"/>
        <v>3.7069947939016856E-4</v>
      </c>
      <c r="BL10" s="67">
        <f t="shared" si="26"/>
        <v>15199.503000000001</v>
      </c>
      <c r="BM10" s="67">
        <f>BL10*BO25/100</f>
        <v>108.21285986286611</v>
      </c>
      <c r="BN10" s="67">
        <v>3000</v>
      </c>
      <c r="BO10" s="73">
        <f>BG10+BN10-1795.82</f>
        <v>14863.279999999999</v>
      </c>
      <c r="BP10" s="73">
        <f t="shared" si="27"/>
        <v>14971.492859862865</v>
      </c>
      <c r="BQ10" s="67">
        <v>180.74</v>
      </c>
      <c r="BR10" s="73">
        <f t="shared" si="28"/>
        <v>180.74</v>
      </c>
      <c r="BS10" s="74">
        <f t="shared" si="15"/>
        <v>34981.772859862867</v>
      </c>
      <c r="BT10" s="75">
        <f t="shared" si="7"/>
        <v>167147.26285986285</v>
      </c>
      <c r="BU10" s="48">
        <f t="shared" si="16"/>
        <v>151995.03</v>
      </c>
      <c r="BV10" s="96">
        <f>+BM10</f>
        <v>108.21285986286611</v>
      </c>
    </row>
    <row r="11" spans="1:74" s="77" customFormat="1" ht="26.25" hidden="1" customHeight="1" x14ac:dyDescent="0.2">
      <c r="A11" s="46">
        <v>7</v>
      </c>
      <c r="B11" s="78" t="s">
        <v>83</v>
      </c>
      <c r="C11" s="79">
        <v>107875</v>
      </c>
      <c r="D11" s="80">
        <v>7600</v>
      </c>
      <c r="E11" s="81">
        <v>8090</v>
      </c>
      <c r="F11" s="82">
        <f t="shared" si="0"/>
        <v>-490</v>
      </c>
      <c r="G11" s="49">
        <f>(C11+E11)/13</f>
        <v>8920.3846153846152</v>
      </c>
      <c r="H11" s="80">
        <v>7512.97</v>
      </c>
      <c r="I11" s="49">
        <f>G11*H25/100</f>
        <v>475.96782221294757</v>
      </c>
      <c r="J11" s="51">
        <f t="shared" si="17"/>
        <v>7988.937822212948</v>
      </c>
      <c r="K11" s="52">
        <v>8090</v>
      </c>
      <c r="L11" s="82">
        <f t="shared" si="18"/>
        <v>-101.06217778705195</v>
      </c>
      <c r="M11" s="53">
        <v>7993.0338637499999</v>
      </c>
      <c r="N11" s="83">
        <v>8690</v>
      </c>
      <c r="O11" s="82">
        <f t="shared" si="1"/>
        <v>-696.96613625000009</v>
      </c>
      <c r="P11" s="49">
        <f t="shared" si="8"/>
        <v>8290</v>
      </c>
      <c r="Q11" s="49">
        <f>P11*P27/100</f>
        <v>66.0189682816318</v>
      </c>
      <c r="R11" s="84">
        <f t="shared" si="19"/>
        <v>24870</v>
      </c>
      <c r="S11" s="56">
        <f t="shared" si="9"/>
        <v>24115</v>
      </c>
      <c r="T11" s="85">
        <v>7500</v>
      </c>
      <c r="U11" s="86">
        <f t="shared" si="20"/>
        <v>7566.0189682816317</v>
      </c>
      <c r="V11" s="87">
        <v>8165</v>
      </c>
      <c r="W11" s="98">
        <f t="shared" si="10"/>
        <v>-598.98103171836829</v>
      </c>
      <c r="X11" s="89">
        <f>(R11+V11)/4</f>
        <v>8258.75</v>
      </c>
      <c r="Y11" s="90">
        <f>X11*X27/100</f>
        <v>583.71299396600091</v>
      </c>
      <c r="Z11" s="89">
        <v>7500</v>
      </c>
      <c r="AA11" s="91">
        <f t="shared" si="11"/>
        <v>8083.7129939660008</v>
      </c>
      <c r="AB11" s="92">
        <v>8495</v>
      </c>
      <c r="AC11" s="99">
        <f t="shared" si="21"/>
        <v>-411.28700603399921</v>
      </c>
      <c r="AD11" s="94">
        <v>7005.6569280000003</v>
      </c>
      <c r="AE11" s="92">
        <v>7455</v>
      </c>
      <c r="AF11" s="95">
        <f t="shared" si="12"/>
        <v>-449.34307199999967</v>
      </c>
      <c r="AG11" s="66"/>
      <c r="AH11" s="67">
        <f t="shared" si="2"/>
        <v>0</v>
      </c>
      <c r="AI11" s="67"/>
      <c r="AJ11" s="67"/>
      <c r="AK11" s="68">
        <f t="shared" si="22"/>
        <v>0</v>
      </c>
      <c r="AL11" s="69">
        <v>0</v>
      </c>
      <c r="AM11" s="67">
        <v>0</v>
      </c>
      <c r="AN11" s="67"/>
      <c r="AO11" s="67"/>
      <c r="AP11" s="67"/>
      <c r="AQ11" s="71"/>
      <c r="AR11" s="69"/>
      <c r="AS11" s="67"/>
      <c r="AT11" s="67"/>
      <c r="AU11" s="67"/>
      <c r="AV11" s="67"/>
      <c r="AW11" s="71">
        <f t="shared" si="23"/>
        <v>0</v>
      </c>
      <c r="AX11" s="69"/>
      <c r="AY11" s="66"/>
      <c r="AZ11" s="66"/>
      <c r="BA11" s="66"/>
      <c r="BB11" s="69">
        <f t="shared" si="6"/>
        <v>0</v>
      </c>
      <c r="BC11" s="67"/>
      <c r="BD11" s="72">
        <f t="shared" si="24"/>
        <v>0</v>
      </c>
      <c r="BE11" s="71"/>
      <c r="BF11" s="71"/>
      <c r="BG11" s="71"/>
      <c r="BH11" s="71"/>
      <c r="BI11" s="73">
        <f t="shared" si="13"/>
        <v>0</v>
      </c>
      <c r="BJ11" s="69"/>
      <c r="BK11" s="95">
        <f t="shared" si="25"/>
        <v>0</v>
      </c>
      <c r="BL11" s="67">
        <f t="shared" si="26"/>
        <v>4898.5</v>
      </c>
      <c r="BM11" s="67"/>
      <c r="BN11" s="67"/>
      <c r="BO11" s="73">
        <f t="shared" si="14"/>
        <v>0</v>
      </c>
      <c r="BP11" s="73">
        <f t="shared" si="27"/>
        <v>0</v>
      </c>
      <c r="BQ11" s="67"/>
      <c r="BR11" s="73">
        <f t="shared" si="28"/>
        <v>0</v>
      </c>
      <c r="BS11" s="74">
        <f t="shared" si="15"/>
        <v>0</v>
      </c>
      <c r="BT11" s="75">
        <f t="shared" si="7"/>
        <v>48985</v>
      </c>
      <c r="BU11" s="48">
        <f t="shared" si="16"/>
        <v>48985</v>
      </c>
      <c r="BV11" s="96"/>
    </row>
    <row r="12" spans="1:74" s="77" customFormat="1" ht="26.25" customHeight="1" x14ac:dyDescent="0.2">
      <c r="A12" s="46">
        <v>8</v>
      </c>
      <c r="B12" s="78" t="s">
        <v>84</v>
      </c>
      <c r="C12" s="79"/>
      <c r="D12" s="80"/>
      <c r="E12" s="81"/>
      <c r="F12" s="82"/>
      <c r="G12" s="49"/>
      <c r="H12" s="80"/>
      <c r="I12" s="49"/>
      <c r="J12" s="51"/>
      <c r="K12" s="52"/>
      <c r="L12" s="82"/>
      <c r="M12" s="53"/>
      <c r="N12" s="83"/>
      <c r="O12" s="82"/>
      <c r="P12" s="49"/>
      <c r="Q12" s="49"/>
      <c r="R12" s="84"/>
      <c r="S12" s="56">
        <f t="shared" si="9"/>
        <v>0</v>
      </c>
      <c r="T12" s="93"/>
      <c r="U12" s="86"/>
      <c r="V12" s="101"/>
      <c r="W12" s="99"/>
      <c r="X12" s="93"/>
      <c r="Y12" s="93"/>
      <c r="Z12" s="93"/>
      <c r="AA12" s="91"/>
      <c r="AB12" s="92"/>
      <c r="AC12" s="99"/>
      <c r="AD12" s="94"/>
      <c r="AE12" s="92"/>
      <c r="AF12" s="95"/>
      <c r="AG12" s="66"/>
      <c r="AH12" s="67">
        <f t="shared" si="2"/>
        <v>169684.45</v>
      </c>
      <c r="AI12" s="67">
        <v>45000</v>
      </c>
      <c r="AJ12" s="67"/>
      <c r="AK12" s="68">
        <f t="shared" si="22"/>
        <v>45000</v>
      </c>
      <c r="AL12" s="69">
        <v>239906</v>
      </c>
      <c r="AM12" s="95">
        <f>AK12-AL12</f>
        <v>-194906</v>
      </c>
      <c r="AN12" s="67">
        <f>AL12</f>
        <v>239906</v>
      </c>
      <c r="AO12" s="67">
        <f>AO25*AN12/100</f>
        <v>12166.857854321559</v>
      </c>
      <c r="AP12" s="67">
        <v>45000</v>
      </c>
      <c r="AQ12" s="71">
        <f>AO12+AP12</f>
        <v>57166.857854321555</v>
      </c>
      <c r="AR12" s="69">
        <v>178944.76</v>
      </c>
      <c r="AS12" s="95">
        <f>AQ12-AR12</f>
        <v>-121777.90214567845</v>
      </c>
      <c r="AT12" s="67">
        <f>(AL12+AR12)/2</f>
        <v>209425.38</v>
      </c>
      <c r="AU12" s="67">
        <f>AT12*AW25/100</f>
        <v>10635.612008757063</v>
      </c>
      <c r="AV12" s="67">
        <v>40000</v>
      </c>
      <c r="AW12" s="71">
        <f>AU12+AV12+13349.03</f>
        <v>63984.642008757059</v>
      </c>
      <c r="AX12" s="69">
        <v>219867.64</v>
      </c>
      <c r="AY12" s="95">
        <f>AW12-AX12</f>
        <v>-155882.99799124297</v>
      </c>
      <c r="AZ12" s="66">
        <f>(AL12+AR12+AX12)/3</f>
        <v>212906.13333333333</v>
      </c>
      <c r="BA12" s="66">
        <f>AZ12*BA25/100</f>
        <v>488.88301826551515</v>
      </c>
      <c r="BB12" s="69">
        <f t="shared" si="6"/>
        <v>638718.4</v>
      </c>
      <c r="BC12" s="67">
        <f>45000-13349.03</f>
        <v>31650.97</v>
      </c>
      <c r="BD12" s="72">
        <f t="shared" si="24"/>
        <v>32139.853018265516</v>
      </c>
      <c r="BE12" s="71">
        <v>33254.160000000003</v>
      </c>
      <c r="BF12" s="71">
        <v>13400</v>
      </c>
      <c r="BG12" s="71">
        <v>19854.16</v>
      </c>
      <c r="BH12" s="71"/>
      <c r="BI12" s="73">
        <f>BD12+BF12+780.15</f>
        <v>46320.003018265517</v>
      </c>
      <c r="BJ12" s="69">
        <v>226654</v>
      </c>
      <c r="BK12" s="95">
        <f t="shared" si="25"/>
        <v>-180333.99698173447</v>
      </c>
      <c r="BL12" s="67">
        <f>(AL12+AR12+AX12+BJ12)/4</f>
        <v>216343.1</v>
      </c>
      <c r="BM12" s="67">
        <f>BL12*BO25/100</f>
        <v>1540.2546756034083</v>
      </c>
      <c r="BN12" s="67">
        <v>7500</v>
      </c>
      <c r="BO12" s="73">
        <f>BG12+BN12-780.15</f>
        <v>26574.01</v>
      </c>
      <c r="BP12" s="73">
        <f t="shared" si="27"/>
        <v>28114.264675603408</v>
      </c>
      <c r="BQ12" s="67">
        <v>533.48</v>
      </c>
      <c r="BR12" s="73">
        <f t="shared" si="28"/>
        <v>533.48</v>
      </c>
      <c r="BS12" s="74">
        <f t="shared" si="15"/>
        <v>255301.74467560343</v>
      </c>
      <c r="BT12" s="75">
        <f t="shared" si="7"/>
        <v>894020.14467560349</v>
      </c>
      <c r="BU12" s="48">
        <f t="shared" si="16"/>
        <v>865372.4</v>
      </c>
      <c r="BV12" s="96">
        <f>+BM12</f>
        <v>1540.2546756034083</v>
      </c>
    </row>
    <row r="13" spans="1:74" s="77" customFormat="1" ht="26.25" customHeight="1" x14ac:dyDescent="0.2">
      <c r="A13" s="46">
        <v>9</v>
      </c>
      <c r="B13" s="78" t="s">
        <v>85</v>
      </c>
      <c r="C13" s="79"/>
      <c r="D13" s="80"/>
      <c r="E13" s="81"/>
      <c r="F13" s="82"/>
      <c r="G13" s="49"/>
      <c r="H13" s="80"/>
      <c r="I13" s="49"/>
      <c r="J13" s="51"/>
      <c r="K13" s="52"/>
      <c r="L13" s="82"/>
      <c r="M13" s="53"/>
      <c r="N13" s="83"/>
      <c r="O13" s="82"/>
      <c r="P13" s="49"/>
      <c r="Q13" s="49"/>
      <c r="R13" s="84"/>
      <c r="S13" s="56">
        <f t="shared" si="9"/>
        <v>0</v>
      </c>
      <c r="T13" s="93"/>
      <c r="U13" s="86"/>
      <c r="V13" s="101"/>
      <c r="W13" s="99"/>
      <c r="X13" s="93"/>
      <c r="Y13" s="93"/>
      <c r="Z13" s="93"/>
      <c r="AA13" s="91"/>
      <c r="AB13" s="92"/>
      <c r="AC13" s="99"/>
      <c r="AD13" s="94"/>
      <c r="AE13" s="92"/>
      <c r="AF13" s="95"/>
      <c r="AG13" s="66"/>
      <c r="AH13" s="67">
        <f t="shared" si="2"/>
        <v>73072.87</v>
      </c>
      <c r="AI13" s="67">
        <v>18000</v>
      </c>
      <c r="AJ13" s="67"/>
      <c r="AK13" s="68">
        <f t="shared" si="22"/>
        <v>18000</v>
      </c>
      <c r="AL13" s="69">
        <v>33330</v>
      </c>
      <c r="AM13" s="95">
        <f>AK13-AL13</f>
        <v>-15330</v>
      </c>
      <c r="AN13" s="67">
        <f>AL13</f>
        <v>33330</v>
      </c>
      <c r="AO13" s="67">
        <f>AO25*AN13/100</f>
        <v>1690.3344321715072</v>
      </c>
      <c r="AP13" s="67">
        <v>18000</v>
      </c>
      <c r="AQ13" s="71">
        <f>AO13+AP13</f>
        <v>19690.334432171509</v>
      </c>
      <c r="AR13" s="69">
        <v>35148</v>
      </c>
      <c r="AS13" s="95">
        <f>AQ13-AR13</f>
        <v>-15457.665567828491</v>
      </c>
      <c r="AT13" s="67">
        <f>(R13+S13+AL13+AR13)/2</f>
        <v>34239</v>
      </c>
      <c r="AU13" s="67">
        <f>AT13*AW25/100</f>
        <v>1738.8184735194609</v>
      </c>
      <c r="AV13" s="67">
        <v>18000</v>
      </c>
      <c r="AW13" s="71">
        <f t="shared" si="23"/>
        <v>19738.818473519459</v>
      </c>
      <c r="AX13" s="69">
        <v>32118</v>
      </c>
      <c r="AY13" s="95">
        <f>AW13-AX13</f>
        <v>-12379.181526480541</v>
      </c>
      <c r="AZ13" s="66">
        <f>(R13+S13+AL13+AR13+AX13)/9</f>
        <v>11177.333333333334</v>
      </c>
      <c r="BA13" s="66">
        <f>AZ13*BA25/100</f>
        <v>25.665810423622137</v>
      </c>
      <c r="BB13" s="69">
        <f t="shared" si="6"/>
        <v>100596</v>
      </c>
      <c r="BC13" s="67">
        <v>18000</v>
      </c>
      <c r="BD13" s="72">
        <f t="shared" si="24"/>
        <v>18025.665810423623</v>
      </c>
      <c r="BE13" s="71">
        <v>13276.13</v>
      </c>
      <c r="BF13" s="71"/>
      <c r="BG13" s="71">
        <v>13276.13</v>
      </c>
      <c r="BH13" s="71"/>
      <c r="BI13" s="73">
        <f t="shared" si="13"/>
        <v>18025.665810423623</v>
      </c>
      <c r="BJ13" s="69">
        <v>45450</v>
      </c>
      <c r="BK13" s="95">
        <f t="shared" si="25"/>
        <v>-27424.334189576377</v>
      </c>
      <c r="BL13" s="67">
        <f t="shared" si="26"/>
        <v>14604.6</v>
      </c>
      <c r="BM13" s="67">
        <f>BL13*BO25/100</f>
        <v>103.97744802268959</v>
      </c>
      <c r="BN13" s="67">
        <v>900</v>
      </c>
      <c r="BO13" s="73">
        <f t="shared" si="14"/>
        <v>14176.13</v>
      </c>
      <c r="BP13" s="73">
        <f t="shared" si="27"/>
        <v>14280.107448022689</v>
      </c>
      <c r="BQ13" s="67">
        <v>172.87</v>
      </c>
      <c r="BR13" s="73">
        <f t="shared" si="28"/>
        <v>172.87</v>
      </c>
      <c r="BS13" s="74">
        <f t="shared" si="15"/>
        <v>59902.977448022692</v>
      </c>
      <c r="BT13" s="75">
        <f t="shared" si="7"/>
        <v>160498.97744802269</v>
      </c>
      <c r="BU13" s="48">
        <f t="shared" si="16"/>
        <v>146046</v>
      </c>
      <c r="BV13" s="96">
        <f>+BM13</f>
        <v>103.97744802268959</v>
      </c>
    </row>
    <row r="14" spans="1:74" s="77" customFormat="1" ht="20.25" customHeight="1" x14ac:dyDescent="0.2">
      <c r="A14" s="46"/>
      <c r="B14" s="102" t="s">
        <v>86</v>
      </c>
      <c r="C14" s="103">
        <f>SUM(C5:C11)</f>
        <v>3637246</v>
      </c>
      <c r="D14" s="103">
        <f>SUM(D5:D11)</f>
        <v>244349</v>
      </c>
      <c r="E14" s="103">
        <f>SUM(E5:E11)</f>
        <v>412202</v>
      </c>
      <c r="F14" s="103">
        <f>F5</f>
        <v>16732</v>
      </c>
      <c r="G14" s="103">
        <f>SUM(G5:G11)</f>
        <v>342445.98076923075</v>
      </c>
      <c r="H14" s="103">
        <f>SUM(H5:H11)</f>
        <v>232386.03</v>
      </c>
      <c r="I14" s="103">
        <f>SUM(I5:I11)</f>
        <v>18272</v>
      </c>
      <c r="J14" s="103">
        <f>SUM(J5:J11)</f>
        <v>251021.89000000004</v>
      </c>
      <c r="K14" s="103">
        <f>SUM(K5:K11)</f>
        <v>455044</v>
      </c>
      <c r="L14" s="103">
        <f>L5</f>
        <v>10.210000000006403</v>
      </c>
      <c r="M14" s="103">
        <f>SUM(M5:M11)</f>
        <v>257062.08503124001</v>
      </c>
      <c r="N14" s="103">
        <f>SUM(N5:N11)</f>
        <v>468011</v>
      </c>
      <c r="O14" s="103">
        <f>O5</f>
        <v>18.015892749986961</v>
      </c>
      <c r="P14" s="103">
        <f t="shared" ref="P14:V14" si="29">SUM(P5:P11)</f>
        <v>349135.66666666663</v>
      </c>
      <c r="Q14" s="103">
        <f t="shared" si="29"/>
        <v>2780.4072983899928</v>
      </c>
      <c r="R14" s="103">
        <f t="shared" si="29"/>
        <v>1335257</v>
      </c>
      <c r="S14" s="103">
        <f t="shared" si="29"/>
        <v>1407370</v>
      </c>
      <c r="T14" s="103">
        <f t="shared" si="29"/>
        <v>235191.84000000003</v>
      </c>
      <c r="U14" s="103">
        <f t="shared" si="29"/>
        <v>242262.20729838999</v>
      </c>
      <c r="V14" s="104">
        <f t="shared" si="29"/>
        <v>397739</v>
      </c>
      <c r="W14" s="104">
        <f>W5+W6</f>
        <v>18576.019259077002</v>
      </c>
      <c r="X14" s="105">
        <f>SUM(X5:X11)</f>
        <v>289708</v>
      </c>
      <c r="Y14" s="104">
        <f>SUM(Y5:Y11)</f>
        <v>20476.019259077006</v>
      </c>
      <c r="Z14" s="106">
        <f>SUM(Z5:Z11)</f>
        <v>231210.04</v>
      </c>
      <c r="AA14" s="105">
        <f>SUM(AA5:AA11)</f>
        <v>256940.33925907701</v>
      </c>
      <c r="AB14" s="103">
        <f>SUM(AB5:AB11)</f>
        <v>551432</v>
      </c>
      <c r="AC14" s="105">
        <f>AC5+AC6</f>
        <v>5049</v>
      </c>
      <c r="AD14" s="103">
        <f>SUM(AD5:AD11)</f>
        <v>224615.05296011997</v>
      </c>
      <c r="AE14" s="107">
        <f>AE5+AE6+AE7+AE8+AE9+AE10+AE11</f>
        <v>458199</v>
      </c>
      <c r="AF14" s="103">
        <f>AF5+AF6+AF10</f>
        <v>9540.5963676599749</v>
      </c>
      <c r="AG14" s="103">
        <f>AG5+AG6+AG7+AG8+AG9+AG10+AG12+AG13</f>
        <v>307194.5</v>
      </c>
      <c r="AH14" s="103">
        <f>AH5+AH6+AH7+AH8+AH9+AH10+AH12+AH13</f>
        <v>1723358.88</v>
      </c>
      <c r="AI14" s="103">
        <f>AI5+AI6+AI7+AI8+AI9+AI10+AI12+AI13</f>
        <v>354149.22</v>
      </c>
      <c r="AJ14" s="108">
        <f>AJ5+AJ6+AJ7+AJ8+AJ9+AJ10+AJ12+AJ13</f>
        <v>16901.040515119974</v>
      </c>
      <c r="AK14" s="103">
        <f>AK5+AK6+AK7+AK8+AK9+AK10+AK12+AK13</f>
        <v>373716.90051512001</v>
      </c>
      <c r="AL14" s="103">
        <f>SUM(AL5:AL13)</f>
        <v>778522.07</v>
      </c>
      <c r="AM14" s="108">
        <f>AM5+AM6+AM10</f>
        <v>28131.958777236581</v>
      </c>
      <c r="AN14" s="103">
        <f>AN5+AN6+AN7+AN8+AN9+AN10+AN12+AN13</f>
        <v>588605.29</v>
      </c>
      <c r="AO14" s="108">
        <f>AO5+AO6+AO7+AO8+AO9+AO10+AO12+AO13</f>
        <v>29851.178777236582</v>
      </c>
      <c r="AP14" s="103">
        <f>AP5+AP6+AP7+AP8+AP9+AP10+AP12+AP13</f>
        <v>356333.36</v>
      </c>
      <c r="AQ14" s="103">
        <f>AQ5+AQ6+AQ7+AQ8+AQ9+AQ10+AQ12+AQ13</f>
        <v>392465.64877723658</v>
      </c>
      <c r="AR14" s="103">
        <f>AR5+AR6+AR7+AR8+AR9+AR10+AR12+AR13</f>
        <v>755475.15999999992</v>
      </c>
      <c r="AS14" s="108">
        <f>AS5+AS6</f>
        <v>31119.360000000001</v>
      </c>
      <c r="AT14" s="107">
        <f>AT5+AT6+AT7+AT8+AT9+AT10+AT12+AT13</f>
        <v>649801.97875000001</v>
      </c>
      <c r="AU14" s="108">
        <f>AU5+AU6+AU7+AU8+AU9+AU10+AU12+AU13</f>
        <v>33000.020000000004</v>
      </c>
      <c r="AV14" s="109">
        <f>SUM(AV5:AV13)</f>
        <v>308718.89</v>
      </c>
      <c r="AW14" s="109">
        <f>SUM(AW5:AW13)</f>
        <v>358076.11</v>
      </c>
      <c r="AX14" s="109">
        <f>AX5+AX6+AX7+AX8+AX9+AX10+AX12+AX13</f>
        <v>841963.33</v>
      </c>
      <c r="AY14" s="110">
        <f>AY5+AY10</f>
        <v>18.230957629712066</v>
      </c>
      <c r="AZ14" s="109">
        <f>AZ5+AZ6+AZ7+AZ8+AZ9+AZ10+AZ12+AZ13</f>
        <v>616813.8277777778</v>
      </c>
      <c r="BA14" s="111">
        <f>BA5+BA6+BA7+BA8+BA9+BA10+BA12+BA13</f>
        <v>1416.350957629711</v>
      </c>
      <c r="BB14" s="109">
        <f t="shared" ref="BB14:BU14" si="30">SUM(BB5:BB13)</f>
        <v>2375960.56</v>
      </c>
      <c r="BC14" s="109">
        <f t="shared" si="30"/>
        <v>406642.80000000005</v>
      </c>
      <c r="BD14" s="109">
        <f t="shared" si="30"/>
        <v>395940.36095762969</v>
      </c>
      <c r="BE14" s="109">
        <f t="shared" si="30"/>
        <v>203000</v>
      </c>
      <c r="BF14" s="109">
        <f t="shared" si="30"/>
        <v>26713.59</v>
      </c>
      <c r="BG14" s="109">
        <f t="shared" si="30"/>
        <v>145647.39000000001</v>
      </c>
      <c r="BH14" s="109">
        <f t="shared" si="30"/>
        <v>30639.02</v>
      </c>
      <c r="BI14" s="109">
        <f t="shared" si="30"/>
        <v>426592.98095762968</v>
      </c>
      <c r="BJ14" s="109">
        <f t="shared" si="30"/>
        <v>939726.3</v>
      </c>
      <c r="BK14" s="110">
        <f>BK5+BK10</f>
        <v>2847.0003706994794</v>
      </c>
      <c r="BL14" s="109">
        <f>BL5+BL6+BL7+BL8+BL9+BL10+BL12+BL13</f>
        <v>634951.95499999996</v>
      </c>
      <c r="BM14" s="111">
        <f>BM5+BM6+BM7+BM8+BM9+BM10+BM12+BM13</f>
        <v>4520.5403706994803</v>
      </c>
      <c r="BN14" s="109">
        <f t="shared" si="30"/>
        <v>211400</v>
      </c>
      <c r="BO14" s="109">
        <f t="shared" si="30"/>
        <v>353108.36</v>
      </c>
      <c r="BP14" s="109">
        <f>BP6+BP7+BP8+BP9+BP10+BP12+BP13</f>
        <v>192628.90037069947</v>
      </c>
      <c r="BQ14" s="109">
        <f t="shared" si="30"/>
        <v>86114.609999999986</v>
      </c>
      <c r="BR14" s="109">
        <f t="shared" si="30"/>
        <v>128872.41999999998</v>
      </c>
      <c r="BS14" s="109">
        <f t="shared" si="30"/>
        <v>1426227.6203706996</v>
      </c>
      <c r="BT14" s="109">
        <f t="shared" si="30"/>
        <v>6544815.1803706996</v>
      </c>
      <c r="BU14" s="109">
        <f t="shared" si="30"/>
        <v>6058313.8600000003</v>
      </c>
      <c r="BV14" s="106">
        <f>SUM(BV5:BV13)</f>
        <v>1673.5403706994805</v>
      </c>
    </row>
    <row r="15" spans="1:74" s="77" customFormat="1" ht="22.5" customHeight="1" x14ac:dyDescent="0.2">
      <c r="A15" s="46">
        <v>8</v>
      </c>
      <c r="B15" s="112" t="s">
        <v>87</v>
      </c>
      <c r="C15" s="79">
        <v>14880</v>
      </c>
      <c r="D15" s="113">
        <v>1380</v>
      </c>
      <c r="E15" s="114">
        <v>1380</v>
      </c>
      <c r="F15" s="49">
        <f t="shared" ref="F15:F22" si="31">D15-E15</f>
        <v>0</v>
      </c>
      <c r="G15" s="49"/>
      <c r="H15" s="113">
        <v>1293.32</v>
      </c>
      <c r="I15" s="115"/>
      <c r="J15" s="51">
        <f t="shared" si="17"/>
        <v>1293.32</v>
      </c>
      <c r="K15" s="52">
        <v>1260</v>
      </c>
      <c r="L15" s="53">
        <f t="shared" si="18"/>
        <v>33.319999999999936</v>
      </c>
      <c r="M15" s="49">
        <v>1413.8788790099998</v>
      </c>
      <c r="N15" s="54">
        <v>1380</v>
      </c>
      <c r="O15" s="49">
        <f>M15-N15</f>
        <v>33.878879009999764</v>
      </c>
      <c r="P15" s="49"/>
      <c r="Q15" s="49"/>
      <c r="R15" s="84">
        <f t="shared" si="19"/>
        <v>4020</v>
      </c>
      <c r="S15" s="56">
        <f t="shared" si="9"/>
        <v>3900</v>
      </c>
      <c r="T15" s="85">
        <v>1320</v>
      </c>
      <c r="U15" s="116">
        <f t="shared" si="20"/>
        <v>1320</v>
      </c>
      <c r="V15" s="87">
        <v>1320</v>
      </c>
      <c r="W15" s="88">
        <f t="shared" si="10"/>
        <v>0</v>
      </c>
      <c r="X15" s="89"/>
      <c r="Y15" s="90"/>
      <c r="Z15" s="89">
        <v>1320</v>
      </c>
      <c r="AA15" s="91">
        <f t="shared" si="11"/>
        <v>1320</v>
      </c>
      <c r="AB15" s="92">
        <v>1320</v>
      </c>
      <c r="AC15" s="117">
        <f t="shared" si="21"/>
        <v>0</v>
      </c>
      <c r="AD15" s="94">
        <v>1313.3773939399994</v>
      </c>
      <c r="AE15" s="92">
        <v>1260</v>
      </c>
      <c r="AF15" s="118">
        <f>AD15-AE15</f>
        <v>53.377393939999365</v>
      </c>
      <c r="AG15" s="94"/>
      <c r="AH15" s="94">
        <f t="shared" ref="AH15:AH22" si="32">AI15+AP15+AV15+BC15+BN15+BQ15</f>
        <v>9088.44</v>
      </c>
      <c r="AI15" s="94">
        <v>1550</v>
      </c>
      <c r="AJ15" s="94"/>
      <c r="AK15" s="68">
        <f t="shared" si="22"/>
        <v>1550</v>
      </c>
      <c r="AL15" s="69">
        <v>1549.68</v>
      </c>
      <c r="AM15" s="66">
        <f t="shared" ref="AM15:AM22" si="33">AK15-AL15</f>
        <v>0.31999999999993634</v>
      </c>
      <c r="AN15" s="67"/>
      <c r="AO15" s="67"/>
      <c r="AP15" s="94">
        <v>1550</v>
      </c>
      <c r="AQ15" s="119">
        <f t="shared" ref="AQ15:AQ22" si="34">AP15</f>
        <v>1550</v>
      </c>
      <c r="AR15" s="118">
        <v>1549.68</v>
      </c>
      <c r="AS15" s="120">
        <f>AQ15-AR15</f>
        <v>0.31999999999993634</v>
      </c>
      <c r="AT15" s="120"/>
      <c r="AU15" s="120"/>
      <c r="AV15" s="94">
        <v>1550</v>
      </c>
      <c r="AW15" s="66">
        <f>AV15</f>
        <v>1550</v>
      </c>
      <c r="AX15" s="69">
        <v>1549.68</v>
      </c>
      <c r="AY15" s="66">
        <f t="shared" ref="AY15:AY22" si="35">AW15-AX15</f>
        <v>0.31999999999993634</v>
      </c>
      <c r="AZ15" s="66"/>
      <c r="BA15" s="66"/>
      <c r="BB15" s="69">
        <f t="shared" si="6"/>
        <v>4649.04</v>
      </c>
      <c r="BC15" s="94">
        <v>1550</v>
      </c>
      <c r="BD15" s="66">
        <f t="shared" ref="BD15:BD22" si="36">BC15</f>
        <v>1550</v>
      </c>
      <c r="BE15" s="66"/>
      <c r="BF15" s="66"/>
      <c r="BG15" s="66"/>
      <c r="BH15" s="66"/>
      <c r="BI15" s="73">
        <f t="shared" si="13"/>
        <v>1550</v>
      </c>
      <c r="BJ15" s="69">
        <v>1549.68</v>
      </c>
      <c r="BK15" s="67">
        <f>BI15-BJ15</f>
        <v>0.31999999999993634</v>
      </c>
      <c r="BL15" s="67"/>
      <c r="BM15" s="67"/>
      <c r="BN15" s="94">
        <v>1550</v>
      </c>
      <c r="BO15" s="73">
        <f t="shared" si="14"/>
        <v>1550</v>
      </c>
      <c r="BP15" s="73">
        <f>BO15</f>
        <v>1550</v>
      </c>
      <c r="BQ15" s="94">
        <v>1338.44</v>
      </c>
      <c r="BR15" s="73">
        <f t="shared" si="28"/>
        <v>1338.44</v>
      </c>
      <c r="BS15" s="74">
        <f>BJ15+BO15+BR15</f>
        <v>4438.1200000000008</v>
      </c>
      <c r="BT15" s="75">
        <f t="shared" ref="BT15:BT22" si="37">R15+S15+BB15+BS15</f>
        <v>17007.160000000003</v>
      </c>
      <c r="BU15" s="48">
        <f>R15+S15+AL15+AR15+AX15+BJ15</f>
        <v>14118.720000000001</v>
      </c>
      <c r="BV15" s="96">
        <f>-AM15</f>
        <v>-0.31999999999993634</v>
      </c>
    </row>
    <row r="16" spans="1:74" s="121" customFormat="1" ht="21" customHeight="1" x14ac:dyDescent="0.2">
      <c r="A16" s="46">
        <v>9</v>
      </c>
      <c r="B16" s="112" t="s">
        <v>88</v>
      </c>
      <c r="C16" s="79">
        <v>7740</v>
      </c>
      <c r="D16" s="113">
        <v>780</v>
      </c>
      <c r="E16" s="114">
        <v>780</v>
      </c>
      <c r="F16" s="49">
        <f t="shared" si="31"/>
        <v>0</v>
      </c>
      <c r="G16" s="49"/>
      <c r="H16" s="113">
        <v>740.08</v>
      </c>
      <c r="I16" s="115"/>
      <c r="J16" s="51">
        <f t="shared" si="17"/>
        <v>740.08</v>
      </c>
      <c r="K16" s="52">
        <v>720</v>
      </c>
      <c r="L16" s="53">
        <f t="shared" si="18"/>
        <v>20.080000000000041</v>
      </c>
      <c r="M16" s="49">
        <v>803.94891032999999</v>
      </c>
      <c r="N16" s="54">
        <v>780</v>
      </c>
      <c r="O16" s="49">
        <f t="shared" ref="O16:O22" si="38">M16-N16</f>
        <v>23.94891032999999</v>
      </c>
      <c r="P16" s="49"/>
      <c r="Q16" s="49"/>
      <c r="R16" s="84">
        <f t="shared" si="19"/>
        <v>2280</v>
      </c>
      <c r="S16" s="56">
        <f t="shared" si="9"/>
        <v>2220</v>
      </c>
      <c r="T16" s="85">
        <v>780</v>
      </c>
      <c r="U16" s="116">
        <f t="shared" si="20"/>
        <v>780</v>
      </c>
      <c r="V16" s="87">
        <v>780</v>
      </c>
      <c r="W16" s="88">
        <f t="shared" si="10"/>
        <v>0</v>
      </c>
      <c r="X16" s="89"/>
      <c r="Y16" s="90"/>
      <c r="Z16" s="89">
        <v>780</v>
      </c>
      <c r="AA16" s="91">
        <f t="shared" si="11"/>
        <v>780</v>
      </c>
      <c r="AB16" s="92">
        <v>780</v>
      </c>
      <c r="AC16" s="117">
        <f t="shared" si="21"/>
        <v>0</v>
      </c>
      <c r="AD16" s="94">
        <v>687.93898201999991</v>
      </c>
      <c r="AE16" s="92">
        <v>660</v>
      </c>
      <c r="AF16" s="118">
        <f t="shared" ref="AF16:AF22" si="39">AD16-AE16</f>
        <v>27.938982019999912</v>
      </c>
      <c r="AG16" s="94"/>
      <c r="AH16" s="94">
        <f t="shared" si="32"/>
        <v>5167.8</v>
      </c>
      <c r="AI16" s="94">
        <v>916</v>
      </c>
      <c r="AJ16" s="94"/>
      <c r="AK16" s="68">
        <f t="shared" si="22"/>
        <v>916</v>
      </c>
      <c r="AL16" s="69">
        <v>774.84</v>
      </c>
      <c r="AM16" s="66">
        <f t="shared" si="33"/>
        <v>141.15999999999997</v>
      </c>
      <c r="AN16" s="67"/>
      <c r="AO16" s="67"/>
      <c r="AP16" s="94">
        <v>916</v>
      </c>
      <c r="AQ16" s="119">
        <f t="shared" si="34"/>
        <v>916</v>
      </c>
      <c r="AR16" s="118">
        <v>915.72</v>
      </c>
      <c r="AS16" s="120">
        <f>AQ16-AR16</f>
        <v>0.27999999999997272</v>
      </c>
      <c r="AT16" s="120"/>
      <c r="AU16" s="120"/>
      <c r="AV16" s="94">
        <v>916</v>
      </c>
      <c r="AW16" s="66">
        <f t="shared" ref="AW16:AW22" si="40">AV16</f>
        <v>916</v>
      </c>
      <c r="AX16" s="69">
        <v>845.28</v>
      </c>
      <c r="AY16" s="66">
        <f t="shared" si="35"/>
        <v>70.720000000000027</v>
      </c>
      <c r="AZ16" s="66"/>
      <c r="BA16" s="66"/>
      <c r="BB16" s="69">
        <f t="shared" si="6"/>
        <v>2535.84</v>
      </c>
      <c r="BC16" s="94">
        <v>916</v>
      </c>
      <c r="BD16" s="66">
        <f t="shared" si="36"/>
        <v>916</v>
      </c>
      <c r="BE16" s="66"/>
      <c r="BF16" s="66"/>
      <c r="BG16" s="66"/>
      <c r="BH16" s="66"/>
      <c r="BI16" s="73">
        <f t="shared" si="13"/>
        <v>916</v>
      </c>
      <c r="BJ16" s="69">
        <v>915.72</v>
      </c>
      <c r="BK16" s="67">
        <f t="shared" ref="BK16:BK21" si="41">BI16-BJ16</f>
        <v>0.27999999999997272</v>
      </c>
      <c r="BL16" s="67"/>
      <c r="BM16" s="67"/>
      <c r="BN16" s="94">
        <v>916</v>
      </c>
      <c r="BO16" s="73">
        <f t="shared" si="14"/>
        <v>916</v>
      </c>
      <c r="BP16" s="73">
        <f t="shared" ref="BP16:BP22" si="42">BO16</f>
        <v>916</v>
      </c>
      <c r="BQ16" s="94">
        <v>587.79999999999995</v>
      </c>
      <c r="BR16" s="73">
        <f t="shared" si="28"/>
        <v>587.79999999999995</v>
      </c>
      <c r="BS16" s="74">
        <f t="shared" ref="BS16:BS22" si="43">BJ16+BO16+BR16</f>
        <v>2419.52</v>
      </c>
      <c r="BT16" s="75">
        <f t="shared" si="37"/>
        <v>9455.36</v>
      </c>
      <c r="BU16" s="48">
        <f t="shared" ref="BU16:BU22" si="44">R16+S16+AL16+AR16+AX16+BJ16</f>
        <v>7951.56</v>
      </c>
      <c r="BV16" s="96">
        <f>-BK16</f>
        <v>-0.27999999999997272</v>
      </c>
    </row>
    <row r="17" spans="1:119" s="121" customFormat="1" ht="22.5" customHeight="1" x14ac:dyDescent="0.2">
      <c r="A17" s="46">
        <v>10</v>
      </c>
      <c r="B17" s="112" t="s">
        <v>89</v>
      </c>
      <c r="C17" s="79">
        <v>10260</v>
      </c>
      <c r="D17" s="113">
        <v>960</v>
      </c>
      <c r="E17" s="114">
        <v>960</v>
      </c>
      <c r="F17" s="49">
        <f t="shared" si="31"/>
        <v>0</v>
      </c>
      <c r="G17" s="49"/>
      <c r="H17" s="113">
        <v>925.89</v>
      </c>
      <c r="I17" s="115"/>
      <c r="J17" s="51">
        <f t="shared" si="17"/>
        <v>925.89</v>
      </c>
      <c r="K17" s="52">
        <v>900</v>
      </c>
      <c r="L17" s="53">
        <f t="shared" si="18"/>
        <v>25.889999999999986</v>
      </c>
      <c r="M17" s="49">
        <v>997.42131974999995</v>
      </c>
      <c r="N17" s="54">
        <v>960</v>
      </c>
      <c r="O17" s="49">
        <f t="shared" si="38"/>
        <v>37.421319749999952</v>
      </c>
      <c r="P17" s="49"/>
      <c r="Q17" s="49"/>
      <c r="R17" s="84">
        <f t="shared" si="19"/>
        <v>2820</v>
      </c>
      <c r="S17" s="56">
        <f t="shared" si="9"/>
        <v>2580</v>
      </c>
      <c r="T17" s="85">
        <v>960</v>
      </c>
      <c r="U17" s="116">
        <f t="shared" si="20"/>
        <v>960</v>
      </c>
      <c r="V17" s="87">
        <v>840</v>
      </c>
      <c r="W17" s="88">
        <f t="shared" si="10"/>
        <v>120</v>
      </c>
      <c r="X17" s="89"/>
      <c r="Y17" s="90"/>
      <c r="Z17" s="89">
        <v>960</v>
      </c>
      <c r="AA17" s="91">
        <f t="shared" si="11"/>
        <v>960</v>
      </c>
      <c r="AB17" s="92">
        <v>900</v>
      </c>
      <c r="AC17" s="117">
        <f t="shared" si="21"/>
        <v>60</v>
      </c>
      <c r="AD17" s="94">
        <v>868.91138150000006</v>
      </c>
      <c r="AE17" s="92">
        <v>840</v>
      </c>
      <c r="AF17" s="118">
        <f t="shared" si="39"/>
        <v>28.911381500000061</v>
      </c>
      <c r="AG17" s="94"/>
      <c r="AH17" s="94">
        <f t="shared" si="32"/>
        <v>6411.4400000000005</v>
      </c>
      <c r="AI17" s="94">
        <v>1128</v>
      </c>
      <c r="AJ17" s="94"/>
      <c r="AK17" s="68">
        <f t="shared" si="22"/>
        <v>1128</v>
      </c>
      <c r="AL17" s="69">
        <v>1127.04</v>
      </c>
      <c r="AM17" s="66">
        <f t="shared" si="33"/>
        <v>0.96000000000003638</v>
      </c>
      <c r="AN17" s="67"/>
      <c r="AO17" s="67"/>
      <c r="AP17" s="94">
        <v>1128</v>
      </c>
      <c r="AQ17" s="119">
        <f t="shared" si="34"/>
        <v>1128</v>
      </c>
      <c r="AR17" s="118">
        <v>1127.04</v>
      </c>
      <c r="AS17" s="120">
        <f t="shared" ref="AS17:AS22" si="45">AQ17-AR17</f>
        <v>0.96000000000003638</v>
      </c>
      <c r="AT17" s="120"/>
      <c r="AU17" s="120"/>
      <c r="AV17" s="94">
        <v>1128</v>
      </c>
      <c r="AW17" s="66">
        <f t="shared" si="40"/>
        <v>1128</v>
      </c>
      <c r="AX17" s="69">
        <v>1127.04</v>
      </c>
      <c r="AY17" s="66">
        <f t="shared" si="35"/>
        <v>0.96000000000003638</v>
      </c>
      <c r="AZ17" s="66"/>
      <c r="BA17" s="66"/>
      <c r="BB17" s="69">
        <f t="shared" si="6"/>
        <v>3381.12</v>
      </c>
      <c r="BC17" s="94">
        <v>1128</v>
      </c>
      <c r="BD17" s="66">
        <f t="shared" si="36"/>
        <v>1128</v>
      </c>
      <c r="BE17" s="66"/>
      <c r="BF17" s="66"/>
      <c r="BG17" s="66"/>
      <c r="BH17" s="66"/>
      <c r="BI17" s="73">
        <f t="shared" si="13"/>
        <v>1128</v>
      </c>
      <c r="BJ17" s="69">
        <v>1127.04</v>
      </c>
      <c r="BK17" s="67">
        <f t="shared" si="41"/>
        <v>0.96000000000003638</v>
      </c>
      <c r="BL17" s="67"/>
      <c r="BM17" s="67"/>
      <c r="BN17" s="94">
        <v>1128</v>
      </c>
      <c r="BO17" s="73">
        <f t="shared" si="14"/>
        <v>1128</v>
      </c>
      <c r="BP17" s="73">
        <f t="shared" si="42"/>
        <v>1128</v>
      </c>
      <c r="BQ17" s="94">
        <v>771.44</v>
      </c>
      <c r="BR17" s="73">
        <f t="shared" si="28"/>
        <v>771.44</v>
      </c>
      <c r="BS17" s="74">
        <f t="shared" si="43"/>
        <v>3026.48</v>
      </c>
      <c r="BT17" s="75">
        <f t="shared" si="37"/>
        <v>11807.599999999999</v>
      </c>
      <c r="BU17" s="48">
        <f t="shared" si="44"/>
        <v>9908.16</v>
      </c>
      <c r="BV17" s="96">
        <f>-BK17</f>
        <v>-0.96000000000003638</v>
      </c>
    </row>
    <row r="18" spans="1:119" s="121" customFormat="1" ht="22.5" customHeight="1" x14ac:dyDescent="0.2">
      <c r="A18" s="46">
        <v>11</v>
      </c>
      <c r="B18" s="112" t="s">
        <v>90</v>
      </c>
      <c r="C18" s="79">
        <v>7680</v>
      </c>
      <c r="D18" s="113">
        <v>780</v>
      </c>
      <c r="E18" s="114">
        <v>780</v>
      </c>
      <c r="F18" s="49">
        <f t="shared" si="31"/>
        <v>0</v>
      </c>
      <c r="G18" s="49"/>
      <c r="H18" s="113">
        <v>754.55</v>
      </c>
      <c r="I18" s="115"/>
      <c r="J18" s="51">
        <f t="shared" si="17"/>
        <v>754.55</v>
      </c>
      <c r="K18" s="52">
        <v>660</v>
      </c>
      <c r="L18" s="53">
        <f t="shared" si="18"/>
        <v>94.549999999999955</v>
      </c>
      <c r="M18" s="49">
        <v>811.60036154999989</v>
      </c>
      <c r="N18" s="54">
        <v>780</v>
      </c>
      <c r="O18" s="49">
        <f t="shared" si="38"/>
        <v>31.600361549999889</v>
      </c>
      <c r="P18" s="49"/>
      <c r="Q18" s="49"/>
      <c r="R18" s="84">
        <f t="shared" si="19"/>
        <v>2220</v>
      </c>
      <c r="S18" s="56">
        <f t="shared" si="9"/>
        <v>2160</v>
      </c>
      <c r="T18" s="85">
        <v>780</v>
      </c>
      <c r="U18" s="116">
        <f t="shared" si="20"/>
        <v>780</v>
      </c>
      <c r="V18" s="87">
        <v>780</v>
      </c>
      <c r="W18" s="88">
        <f t="shared" si="10"/>
        <v>0</v>
      </c>
      <c r="X18" s="89"/>
      <c r="Y18" s="90"/>
      <c r="Z18" s="89">
        <v>780</v>
      </c>
      <c r="AA18" s="91">
        <f t="shared" si="11"/>
        <v>780</v>
      </c>
      <c r="AB18" s="92">
        <v>360</v>
      </c>
      <c r="AC18" s="117">
        <f t="shared" si="21"/>
        <v>420</v>
      </c>
      <c r="AD18" s="94">
        <f>709.33+AC18</f>
        <v>1129.33</v>
      </c>
      <c r="AE18" s="92">
        <v>1020</v>
      </c>
      <c r="AF18" s="118">
        <f t="shared" si="39"/>
        <v>109.32999999999993</v>
      </c>
      <c r="AG18" s="94"/>
      <c r="AH18" s="94">
        <f t="shared" si="32"/>
        <v>5216.9799999999996</v>
      </c>
      <c r="AI18" s="94">
        <v>916</v>
      </c>
      <c r="AJ18" s="94"/>
      <c r="AK18" s="68">
        <f t="shared" si="22"/>
        <v>916</v>
      </c>
      <c r="AL18" s="69">
        <v>915.72</v>
      </c>
      <c r="AM18" s="66">
        <f t="shared" si="33"/>
        <v>0.27999999999997272</v>
      </c>
      <c r="AN18" s="67"/>
      <c r="AO18" s="67"/>
      <c r="AP18" s="94">
        <v>916</v>
      </c>
      <c r="AQ18" s="119">
        <f t="shared" si="34"/>
        <v>916</v>
      </c>
      <c r="AR18" s="118">
        <v>845.28</v>
      </c>
      <c r="AS18" s="120">
        <f t="shared" si="45"/>
        <v>70.720000000000027</v>
      </c>
      <c r="AT18" s="120"/>
      <c r="AU18" s="120"/>
      <c r="AV18" s="94">
        <v>916</v>
      </c>
      <c r="AW18" s="66">
        <f>AV18</f>
        <v>916</v>
      </c>
      <c r="AX18" s="69">
        <v>845.28</v>
      </c>
      <c r="AY18" s="66">
        <f t="shared" si="35"/>
        <v>70.720000000000027</v>
      </c>
      <c r="AZ18" s="66"/>
      <c r="BA18" s="66"/>
      <c r="BB18" s="69">
        <f t="shared" si="6"/>
        <v>2606.2799999999997</v>
      </c>
      <c r="BC18" s="94">
        <v>916</v>
      </c>
      <c r="BD18" s="66">
        <f t="shared" si="36"/>
        <v>916</v>
      </c>
      <c r="BE18" s="66"/>
      <c r="BF18" s="66"/>
      <c r="BG18" s="66"/>
      <c r="BH18" s="66"/>
      <c r="BI18" s="73">
        <f t="shared" si="13"/>
        <v>916</v>
      </c>
      <c r="BJ18" s="69">
        <v>845.28</v>
      </c>
      <c r="BK18" s="67">
        <f t="shared" si="41"/>
        <v>70.720000000000027</v>
      </c>
      <c r="BL18" s="67"/>
      <c r="BM18" s="67"/>
      <c r="BN18" s="94">
        <v>916</v>
      </c>
      <c r="BO18" s="73">
        <f t="shared" si="14"/>
        <v>916</v>
      </c>
      <c r="BP18" s="73">
        <f t="shared" si="42"/>
        <v>916</v>
      </c>
      <c r="BQ18" s="94">
        <v>636.98</v>
      </c>
      <c r="BR18" s="73">
        <f t="shared" si="28"/>
        <v>636.98</v>
      </c>
      <c r="BS18" s="74">
        <f t="shared" si="43"/>
        <v>2398.2600000000002</v>
      </c>
      <c r="BT18" s="75">
        <f t="shared" si="37"/>
        <v>9384.5400000000009</v>
      </c>
      <c r="BU18" s="48">
        <f t="shared" si="44"/>
        <v>7831.5599999999995</v>
      </c>
      <c r="BV18" s="96">
        <f>-BK18</f>
        <v>-70.720000000000027</v>
      </c>
    </row>
    <row r="19" spans="1:119" s="77" customFormat="1" ht="23.25" customHeight="1" x14ac:dyDescent="0.2">
      <c r="A19" s="46">
        <v>12</v>
      </c>
      <c r="B19" s="112" t="s">
        <v>91</v>
      </c>
      <c r="C19" s="79">
        <v>31035</v>
      </c>
      <c r="D19" s="113">
        <v>2790</v>
      </c>
      <c r="E19" s="114">
        <v>2790</v>
      </c>
      <c r="F19" s="49">
        <f t="shared" si="31"/>
        <v>0</v>
      </c>
      <c r="G19" s="49"/>
      <c r="H19" s="113">
        <v>2790.18</v>
      </c>
      <c r="I19" s="113"/>
      <c r="J19" s="51">
        <f t="shared" si="17"/>
        <v>2790.18</v>
      </c>
      <c r="K19" s="122">
        <v>2790</v>
      </c>
      <c r="L19" s="53">
        <f t="shared" si="18"/>
        <v>0.17999999999983629</v>
      </c>
      <c r="M19" s="49">
        <v>2951.274042</v>
      </c>
      <c r="N19" s="54">
        <v>2940</v>
      </c>
      <c r="O19" s="49">
        <f t="shared" si="38"/>
        <v>11.274042000000009</v>
      </c>
      <c r="P19" s="49"/>
      <c r="Q19" s="49"/>
      <c r="R19" s="84">
        <f t="shared" si="19"/>
        <v>8520</v>
      </c>
      <c r="S19" s="56">
        <f t="shared" si="9"/>
        <v>8130</v>
      </c>
      <c r="T19" s="85">
        <v>2745</v>
      </c>
      <c r="U19" s="116">
        <f t="shared" si="20"/>
        <v>2745</v>
      </c>
      <c r="V19" s="87">
        <v>2685</v>
      </c>
      <c r="W19" s="88">
        <f t="shared" si="10"/>
        <v>60</v>
      </c>
      <c r="X19" s="89"/>
      <c r="Y19" s="90"/>
      <c r="Z19" s="89">
        <v>2745</v>
      </c>
      <c r="AA19" s="91">
        <f t="shared" si="11"/>
        <v>2745</v>
      </c>
      <c r="AB19" s="92">
        <v>2685</v>
      </c>
      <c r="AC19" s="117">
        <f t="shared" si="21"/>
        <v>60</v>
      </c>
      <c r="AD19" s="94">
        <v>2762.1213479999988</v>
      </c>
      <c r="AE19" s="92">
        <v>2760</v>
      </c>
      <c r="AF19" s="118">
        <f t="shared" si="39"/>
        <v>2.1213479999987612</v>
      </c>
      <c r="AG19" s="94"/>
      <c r="AH19" s="94">
        <f t="shared" si="32"/>
        <v>18970.84</v>
      </c>
      <c r="AI19" s="94">
        <v>3180</v>
      </c>
      <c r="AJ19" s="94"/>
      <c r="AK19" s="68">
        <f t="shared" si="22"/>
        <v>3180</v>
      </c>
      <c r="AL19" s="69">
        <v>3174.54</v>
      </c>
      <c r="AM19" s="66">
        <f t="shared" si="33"/>
        <v>5.4600000000000364</v>
      </c>
      <c r="AN19" s="67"/>
      <c r="AO19" s="67"/>
      <c r="AP19" s="94">
        <v>3180</v>
      </c>
      <c r="AQ19" s="119">
        <f t="shared" si="34"/>
        <v>3180</v>
      </c>
      <c r="AR19" s="118">
        <v>3174.54</v>
      </c>
      <c r="AS19" s="120">
        <f t="shared" si="45"/>
        <v>5.4600000000000364</v>
      </c>
      <c r="AT19" s="120"/>
      <c r="AU19" s="120"/>
      <c r="AV19" s="94">
        <v>3180</v>
      </c>
      <c r="AW19" s="66">
        <f t="shared" si="40"/>
        <v>3180</v>
      </c>
      <c r="AX19" s="69">
        <v>3174.54</v>
      </c>
      <c r="AY19" s="66">
        <f t="shared" si="35"/>
        <v>5.4600000000000364</v>
      </c>
      <c r="AZ19" s="66"/>
      <c r="BA19" s="66"/>
      <c r="BB19" s="69">
        <f t="shared" si="6"/>
        <v>9523.619999999999</v>
      </c>
      <c r="BC19" s="94">
        <v>3180</v>
      </c>
      <c r="BD19" s="66">
        <f t="shared" si="36"/>
        <v>3180</v>
      </c>
      <c r="BE19" s="66"/>
      <c r="BF19" s="66"/>
      <c r="BG19" s="66"/>
      <c r="BH19" s="66"/>
      <c r="BI19" s="73">
        <f t="shared" si="13"/>
        <v>3180</v>
      </c>
      <c r="BJ19" s="69">
        <v>3174.54</v>
      </c>
      <c r="BK19" s="67">
        <f t="shared" si="41"/>
        <v>5.4600000000000364</v>
      </c>
      <c r="BL19" s="67"/>
      <c r="BM19" s="67"/>
      <c r="BN19" s="94">
        <v>3180</v>
      </c>
      <c r="BO19" s="73">
        <f t="shared" si="14"/>
        <v>3180</v>
      </c>
      <c r="BP19" s="73">
        <f t="shared" si="42"/>
        <v>3180</v>
      </c>
      <c r="BQ19" s="94">
        <v>3070.84</v>
      </c>
      <c r="BR19" s="73">
        <f t="shared" si="28"/>
        <v>3070.84</v>
      </c>
      <c r="BS19" s="74">
        <f t="shared" si="43"/>
        <v>9425.380000000001</v>
      </c>
      <c r="BT19" s="75">
        <f t="shared" si="37"/>
        <v>35599</v>
      </c>
      <c r="BU19" s="48">
        <f t="shared" si="44"/>
        <v>29348.160000000003</v>
      </c>
      <c r="BV19" s="96">
        <f>-AS19</f>
        <v>-5.4600000000000364</v>
      </c>
    </row>
    <row r="20" spans="1:119" s="121" customFormat="1" ht="22.9" customHeight="1" x14ac:dyDescent="0.2">
      <c r="A20" s="46">
        <v>13</v>
      </c>
      <c r="B20" s="112" t="s">
        <v>92</v>
      </c>
      <c r="C20" s="79">
        <v>22600</v>
      </c>
      <c r="D20" s="113">
        <v>2500</v>
      </c>
      <c r="E20" s="114">
        <v>2160</v>
      </c>
      <c r="F20" s="49">
        <f t="shared" si="31"/>
        <v>340</v>
      </c>
      <c r="G20" s="49"/>
      <c r="H20" s="113">
        <v>2356.8200000000002</v>
      </c>
      <c r="I20" s="115"/>
      <c r="J20" s="51">
        <f t="shared" si="17"/>
        <v>2356.8200000000002</v>
      </c>
      <c r="K20" s="52">
        <v>2350</v>
      </c>
      <c r="L20" s="53">
        <f t="shared" si="18"/>
        <v>6.8200000000001637</v>
      </c>
      <c r="M20" s="49">
        <v>2568.7014810000001</v>
      </c>
      <c r="N20" s="54">
        <v>2420</v>
      </c>
      <c r="O20" s="49">
        <f t="shared" si="38"/>
        <v>148.70148100000006</v>
      </c>
      <c r="P20" s="49"/>
      <c r="Q20" s="49"/>
      <c r="R20" s="84">
        <f t="shared" si="19"/>
        <v>6930</v>
      </c>
      <c r="S20" s="56">
        <f t="shared" si="9"/>
        <v>6360</v>
      </c>
      <c r="T20" s="85">
        <v>2400</v>
      </c>
      <c r="U20" s="116">
        <f t="shared" si="20"/>
        <v>2400</v>
      </c>
      <c r="V20" s="87">
        <v>1660</v>
      </c>
      <c r="W20" s="88">
        <f t="shared" si="10"/>
        <v>740</v>
      </c>
      <c r="X20" s="89"/>
      <c r="Y20" s="90"/>
      <c r="Z20" s="89">
        <v>2400</v>
      </c>
      <c r="AA20" s="91">
        <f t="shared" si="11"/>
        <v>2400</v>
      </c>
      <c r="AB20" s="92">
        <v>2380</v>
      </c>
      <c r="AC20" s="117">
        <f t="shared" si="21"/>
        <v>20</v>
      </c>
      <c r="AD20" s="94">
        <v>2382.401914</v>
      </c>
      <c r="AE20" s="92">
        <v>2320</v>
      </c>
      <c r="AF20" s="118">
        <f t="shared" si="39"/>
        <v>62.401914000000033</v>
      </c>
      <c r="AG20" s="94"/>
      <c r="AH20" s="94">
        <f t="shared" si="32"/>
        <v>16511.66</v>
      </c>
      <c r="AI20" s="94">
        <v>2800</v>
      </c>
      <c r="AJ20" s="94"/>
      <c r="AK20" s="68">
        <f t="shared" si="22"/>
        <v>2800</v>
      </c>
      <c r="AL20" s="69">
        <v>2643.68</v>
      </c>
      <c r="AM20" s="66">
        <f t="shared" si="33"/>
        <v>156.32000000000016</v>
      </c>
      <c r="AN20" s="67"/>
      <c r="AO20" s="67"/>
      <c r="AP20" s="94">
        <v>2800</v>
      </c>
      <c r="AQ20" s="119">
        <f t="shared" si="34"/>
        <v>2800</v>
      </c>
      <c r="AR20" s="118">
        <v>2274.96</v>
      </c>
      <c r="AS20" s="120">
        <f t="shared" si="45"/>
        <v>525.04</v>
      </c>
      <c r="AT20" s="120"/>
      <c r="AU20" s="120"/>
      <c r="AV20" s="94">
        <v>2800</v>
      </c>
      <c r="AW20" s="66">
        <f t="shared" si="40"/>
        <v>2800</v>
      </c>
      <c r="AX20" s="69">
        <v>2768.04</v>
      </c>
      <c r="AY20" s="66">
        <f t="shared" si="35"/>
        <v>31.960000000000036</v>
      </c>
      <c r="AZ20" s="66"/>
      <c r="BA20" s="66"/>
      <c r="BB20" s="69">
        <f t="shared" si="6"/>
        <v>7686.6799999999994</v>
      </c>
      <c r="BC20" s="94">
        <v>2800</v>
      </c>
      <c r="BD20" s="66">
        <f t="shared" si="36"/>
        <v>2800</v>
      </c>
      <c r="BE20" s="66"/>
      <c r="BF20" s="66"/>
      <c r="BG20" s="66"/>
      <c r="BH20" s="66"/>
      <c r="BI20" s="73">
        <f t="shared" si="13"/>
        <v>2800</v>
      </c>
      <c r="BJ20" s="69">
        <v>2697.6</v>
      </c>
      <c r="BK20" s="67">
        <f t="shared" si="41"/>
        <v>102.40000000000009</v>
      </c>
      <c r="BL20" s="67"/>
      <c r="BM20" s="67"/>
      <c r="BN20" s="94">
        <v>2800</v>
      </c>
      <c r="BO20" s="73">
        <f t="shared" si="14"/>
        <v>2800</v>
      </c>
      <c r="BP20" s="73">
        <f t="shared" si="42"/>
        <v>2800</v>
      </c>
      <c r="BQ20" s="94">
        <v>2511.66</v>
      </c>
      <c r="BR20" s="73">
        <f t="shared" si="28"/>
        <v>2511.66</v>
      </c>
      <c r="BS20" s="74">
        <f t="shared" si="43"/>
        <v>8009.26</v>
      </c>
      <c r="BT20" s="75">
        <f t="shared" si="37"/>
        <v>28985.940000000002</v>
      </c>
      <c r="BU20" s="48">
        <f t="shared" si="44"/>
        <v>23674.28</v>
      </c>
      <c r="BV20" s="96">
        <f>-BK20</f>
        <v>-102.40000000000009</v>
      </c>
    </row>
    <row r="21" spans="1:119" s="77" customFormat="1" ht="22.9" customHeight="1" x14ac:dyDescent="0.2">
      <c r="A21" s="46">
        <v>14</v>
      </c>
      <c r="B21" s="112" t="s">
        <v>93</v>
      </c>
      <c r="C21" s="79">
        <v>6000</v>
      </c>
      <c r="D21" s="113">
        <v>1500</v>
      </c>
      <c r="E21" s="114">
        <v>300</v>
      </c>
      <c r="F21" s="49">
        <f t="shared" si="31"/>
        <v>1200</v>
      </c>
      <c r="G21" s="49"/>
      <c r="H21" s="113">
        <v>1496.76</v>
      </c>
      <c r="I21" s="115"/>
      <c r="J21" s="51">
        <f t="shared" si="17"/>
        <v>1496.76</v>
      </c>
      <c r="K21" s="52">
        <v>420</v>
      </c>
      <c r="L21" s="53">
        <f t="shared" si="18"/>
        <v>1076.76</v>
      </c>
      <c r="M21" s="49">
        <v>1584.9434669999998</v>
      </c>
      <c r="N21" s="54">
        <v>390</v>
      </c>
      <c r="O21" s="49">
        <f t="shared" si="38"/>
        <v>1194.9434669999998</v>
      </c>
      <c r="P21" s="49"/>
      <c r="Q21" s="49"/>
      <c r="R21" s="84">
        <f t="shared" si="19"/>
        <v>1110</v>
      </c>
      <c r="S21" s="56">
        <f t="shared" si="9"/>
        <v>1710</v>
      </c>
      <c r="T21" s="85">
        <v>1500</v>
      </c>
      <c r="U21" s="116">
        <f t="shared" si="20"/>
        <v>1500</v>
      </c>
      <c r="V21" s="87">
        <v>630</v>
      </c>
      <c r="W21" s="88">
        <f t="shared" si="10"/>
        <v>870</v>
      </c>
      <c r="X21" s="89"/>
      <c r="Y21" s="90"/>
      <c r="Z21" s="89">
        <v>1500</v>
      </c>
      <c r="AA21" s="91">
        <f t="shared" si="11"/>
        <v>1500</v>
      </c>
      <c r="AB21" s="92">
        <v>540</v>
      </c>
      <c r="AC21" s="117">
        <f t="shared" si="21"/>
        <v>960</v>
      </c>
      <c r="AD21" s="94">
        <v>1431.6947979999995</v>
      </c>
      <c r="AE21" s="92">
        <v>540</v>
      </c>
      <c r="AF21" s="118">
        <f t="shared" si="39"/>
        <v>891.69479799999954</v>
      </c>
      <c r="AG21" s="94"/>
      <c r="AH21" s="94">
        <f t="shared" si="32"/>
        <v>10188.040000000001</v>
      </c>
      <c r="AI21" s="94">
        <v>1900</v>
      </c>
      <c r="AJ21" s="94"/>
      <c r="AK21" s="68">
        <f t="shared" si="22"/>
        <v>1900</v>
      </c>
      <c r="AL21" s="69">
        <v>485.28</v>
      </c>
      <c r="AM21" s="66">
        <f t="shared" si="33"/>
        <v>1414.72</v>
      </c>
      <c r="AN21" s="67"/>
      <c r="AO21" s="67"/>
      <c r="AP21" s="94">
        <v>1900</v>
      </c>
      <c r="AQ21" s="119">
        <f t="shared" si="34"/>
        <v>1900</v>
      </c>
      <c r="AR21" s="118">
        <v>647.04</v>
      </c>
      <c r="AS21" s="120">
        <f t="shared" si="45"/>
        <v>1252.96</v>
      </c>
      <c r="AT21" s="120"/>
      <c r="AU21" s="120"/>
      <c r="AV21" s="94">
        <v>1900</v>
      </c>
      <c r="AW21" s="66">
        <f t="shared" si="40"/>
        <v>1900</v>
      </c>
      <c r="AX21" s="69">
        <v>687.48</v>
      </c>
      <c r="AY21" s="66">
        <f t="shared" si="35"/>
        <v>1212.52</v>
      </c>
      <c r="AZ21" s="66"/>
      <c r="BA21" s="66"/>
      <c r="BB21" s="69">
        <f t="shared" si="6"/>
        <v>1819.8</v>
      </c>
      <c r="BC21" s="94">
        <v>1900</v>
      </c>
      <c r="BD21" s="66">
        <f t="shared" si="36"/>
        <v>1900</v>
      </c>
      <c r="BE21" s="66"/>
      <c r="BF21" s="66"/>
      <c r="BG21" s="66"/>
      <c r="BH21" s="66"/>
      <c r="BI21" s="73">
        <f t="shared" si="13"/>
        <v>1900</v>
      </c>
      <c r="BJ21" s="69">
        <v>417.88</v>
      </c>
      <c r="BK21" s="67">
        <f t="shared" si="41"/>
        <v>1482.12</v>
      </c>
      <c r="BL21" s="67"/>
      <c r="BM21" s="67"/>
      <c r="BN21" s="94">
        <v>1900</v>
      </c>
      <c r="BO21" s="73">
        <f t="shared" si="14"/>
        <v>1900</v>
      </c>
      <c r="BP21" s="73">
        <f t="shared" si="42"/>
        <v>1900</v>
      </c>
      <c r="BQ21" s="94">
        <v>688.04</v>
      </c>
      <c r="BR21" s="73">
        <f t="shared" si="28"/>
        <v>688.04</v>
      </c>
      <c r="BS21" s="74">
        <f t="shared" si="43"/>
        <v>3005.92</v>
      </c>
      <c r="BT21" s="75">
        <f t="shared" si="37"/>
        <v>7645.72</v>
      </c>
      <c r="BU21" s="48">
        <f t="shared" si="44"/>
        <v>5057.6799999999994</v>
      </c>
      <c r="BV21" s="96">
        <f>-BK21</f>
        <v>-1482.12</v>
      </c>
    </row>
    <row r="22" spans="1:119" s="77" customFormat="1" ht="22.9" customHeight="1" thickBot="1" x14ac:dyDescent="0.25">
      <c r="A22" s="46">
        <v>15</v>
      </c>
      <c r="B22" s="112" t="s">
        <v>94</v>
      </c>
      <c r="C22" s="79">
        <v>98965</v>
      </c>
      <c r="D22" s="123">
        <v>11100</v>
      </c>
      <c r="E22" s="124">
        <v>11100</v>
      </c>
      <c r="F22" s="49">
        <f t="shared" si="31"/>
        <v>0</v>
      </c>
      <c r="G22" s="125"/>
      <c r="H22" s="123">
        <v>11117.37</v>
      </c>
      <c r="I22" s="126"/>
      <c r="J22" s="51">
        <f t="shared" si="17"/>
        <v>11117.37</v>
      </c>
      <c r="K22" s="127">
        <v>11110</v>
      </c>
      <c r="L22" s="53">
        <f t="shared" si="18"/>
        <v>7.3700000000008004</v>
      </c>
      <c r="M22" s="125">
        <v>11750.442944999999</v>
      </c>
      <c r="N22" s="128">
        <v>11745</v>
      </c>
      <c r="O22" s="49">
        <f t="shared" si="38"/>
        <v>5.4429449999988719</v>
      </c>
      <c r="P22" s="125"/>
      <c r="Q22" s="125"/>
      <c r="R22" s="84">
        <f t="shared" si="19"/>
        <v>33955</v>
      </c>
      <c r="S22" s="56">
        <f t="shared" si="9"/>
        <v>32710</v>
      </c>
      <c r="T22" s="85">
        <v>11000</v>
      </c>
      <c r="U22" s="116">
        <f t="shared" si="20"/>
        <v>11000</v>
      </c>
      <c r="V22" s="129">
        <v>10890</v>
      </c>
      <c r="W22" s="88">
        <f t="shared" si="10"/>
        <v>110</v>
      </c>
      <c r="X22" s="130"/>
      <c r="Y22" s="131"/>
      <c r="Z22" s="89">
        <v>11000</v>
      </c>
      <c r="AA22" s="91">
        <f t="shared" si="11"/>
        <v>11000</v>
      </c>
      <c r="AB22" s="92">
        <v>10985</v>
      </c>
      <c r="AC22" s="117">
        <f t="shared" si="21"/>
        <v>15</v>
      </c>
      <c r="AD22" s="94">
        <v>10855.66833</v>
      </c>
      <c r="AE22" s="92">
        <v>10835</v>
      </c>
      <c r="AF22" s="118">
        <f t="shared" si="39"/>
        <v>20.668330000000424</v>
      </c>
      <c r="AG22" s="94"/>
      <c r="AH22" s="94">
        <f t="shared" si="32"/>
        <v>58430.19</v>
      </c>
      <c r="AI22" s="94">
        <v>11000</v>
      </c>
      <c r="AJ22" s="94"/>
      <c r="AK22" s="68">
        <f t="shared" si="22"/>
        <v>11000</v>
      </c>
      <c r="AL22" s="69">
        <v>10985.56</v>
      </c>
      <c r="AM22" s="66">
        <f t="shared" si="33"/>
        <v>14.440000000000509</v>
      </c>
      <c r="AN22" s="67"/>
      <c r="AO22" s="67"/>
      <c r="AP22" s="94">
        <v>11000</v>
      </c>
      <c r="AQ22" s="119">
        <f t="shared" si="34"/>
        <v>11000</v>
      </c>
      <c r="AR22" s="118">
        <v>10989.52</v>
      </c>
      <c r="AS22" s="120">
        <f t="shared" si="45"/>
        <v>10.479999999999563</v>
      </c>
      <c r="AT22" s="120"/>
      <c r="AU22" s="120"/>
      <c r="AV22" s="94">
        <v>11000</v>
      </c>
      <c r="AW22" s="66">
        <f t="shared" si="40"/>
        <v>11000</v>
      </c>
      <c r="AX22" s="69">
        <v>10994.54</v>
      </c>
      <c r="AY22" s="66">
        <f t="shared" si="35"/>
        <v>5.4599999999991269</v>
      </c>
      <c r="AZ22" s="66"/>
      <c r="BA22" s="66"/>
      <c r="BB22" s="69">
        <f t="shared" si="6"/>
        <v>32969.620000000003</v>
      </c>
      <c r="BC22" s="94">
        <v>11000</v>
      </c>
      <c r="BD22" s="66">
        <f t="shared" si="36"/>
        <v>11000</v>
      </c>
      <c r="BE22" s="66"/>
      <c r="BF22" s="66"/>
      <c r="BG22" s="66"/>
      <c r="BH22" s="66"/>
      <c r="BI22" s="73">
        <f t="shared" si="13"/>
        <v>11000</v>
      </c>
      <c r="BJ22" s="69">
        <v>10988.72</v>
      </c>
      <c r="BK22" s="67">
        <f>BI22-BJ22</f>
        <v>11.280000000000655</v>
      </c>
      <c r="BL22" s="67"/>
      <c r="BM22" s="67"/>
      <c r="BN22" s="94">
        <v>10000</v>
      </c>
      <c r="BO22" s="73">
        <f t="shared" si="14"/>
        <v>10000</v>
      </c>
      <c r="BP22" s="73">
        <f t="shared" si="42"/>
        <v>10000</v>
      </c>
      <c r="BQ22" s="94">
        <v>4430.1899999999996</v>
      </c>
      <c r="BR22" s="73">
        <f t="shared" si="28"/>
        <v>4430.1899999999996</v>
      </c>
      <c r="BS22" s="74">
        <f t="shared" si="43"/>
        <v>25418.91</v>
      </c>
      <c r="BT22" s="75">
        <f t="shared" si="37"/>
        <v>125053.53</v>
      </c>
      <c r="BU22" s="48">
        <f t="shared" si="44"/>
        <v>110623.34</v>
      </c>
      <c r="BV22" s="96">
        <f>-BK22</f>
        <v>-11.280000000000655</v>
      </c>
    </row>
    <row r="23" spans="1:119" s="140" customFormat="1" ht="23.25" customHeight="1" x14ac:dyDescent="0.2">
      <c r="A23" s="132"/>
      <c r="B23" s="133" t="s">
        <v>95</v>
      </c>
      <c r="C23" s="134">
        <f t="shared" ref="C23:AB23" si="46">SUM(C15:C22)</f>
        <v>199160</v>
      </c>
      <c r="D23" s="134">
        <f t="shared" si="46"/>
        <v>21790</v>
      </c>
      <c r="E23" s="134">
        <f t="shared" si="46"/>
        <v>20250</v>
      </c>
      <c r="F23" s="134">
        <f t="shared" si="46"/>
        <v>1540</v>
      </c>
      <c r="G23" s="134">
        <f t="shared" si="46"/>
        <v>0</v>
      </c>
      <c r="H23" s="134">
        <f t="shared" si="46"/>
        <v>21474.97</v>
      </c>
      <c r="I23" s="134">
        <f t="shared" si="46"/>
        <v>0</v>
      </c>
      <c r="J23" s="134">
        <f t="shared" si="46"/>
        <v>21474.97</v>
      </c>
      <c r="K23" s="134">
        <f t="shared" si="46"/>
        <v>20210</v>
      </c>
      <c r="L23" s="134">
        <f t="shared" si="46"/>
        <v>1264.9700000000007</v>
      </c>
      <c r="M23" s="134">
        <f t="shared" si="46"/>
        <v>22882.211405639995</v>
      </c>
      <c r="N23" s="134">
        <f t="shared" si="46"/>
        <v>21395</v>
      </c>
      <c r="O23" s="134">
        <f t="shared" si="46"/>
        <v>1487.2114056399982</v>
      </c>
      <c r="P23" s="134">
        <f t="shared" si="46"/>
        <v>0</v>
      </c>
      <c r="Q23" s="134">
        <f t="shared" si="46"/>
        <v>0</v>
      </c>
      <c r="R23" s="134">
        <f t="shared" si="46"/>
        <v>61855</v>
      </c>
      <c r="S23" s="134">
        <f t="shared" si="46"/>
        <v>59770</v>
      </c>
      <c r="T23" s="135">
        <f t="shared" si="46"/>
        <v>21485</v>
      </c>
      <c r="U23" s="134">
        <f t="shared" si="46"/>
        <v>21485</v>
      </c>
      <c r="V23" s="134">
        <f t="shared" si="46"/>
        <v>19585</v>
      </c>
      <c r="W23" s="136">
        <f t="shared" si="46"/>
        <v>1900</v>
      </c>
      <c r="X23" s="134">
        <f t="shared" si="46"/>
        <v>0</v>
      </c>
      <c r="Y23" s="134">
        <f t="shared" si="46"/>
        <v>0</v>
      </c>
      <c r="Z23" s="137">
        <f t="shared" si="46"/>
        <v>21485</v>
      </c>
      <c r="AA23" s="138">
        <f t="shared" si="46"/>
        <v>21485</v>
      </c>
      <c r="AB23" s="134">
        <f t="shared" si="46"/>
        <v>19950</v>
      </c>
      <c r="AC23" s="138">
        <f>SUM(AC15:AC22)-AC18</f>
        <v>1115</v>
      </c>
      <c r="AD23" s="134">
        <f>SUM(AD15:AD22)</f>
        <v>21431.444147459999</v>
      </c>
      <c r="AE23" s="134">
        <f>SUM(AE15:AE22)</f>
        <v>20235</v>
      </c>
      <c r="AF23" s="134">
        <f>SUM(AF15:AF22)</f>
        <v>1196.444147459998</v>
      </c>
      <c r="AG23" s="139"/>
      <c r="AH23" s="134">
        <f>AH15+AH16+AH17+AH18+AH19+AH20+AH21+AH22</f>
        <v>129985.39000000001</v>
      </c>
      <c r="AI23" s="134">
        <f>AI15+AI16+AI17+AI18+AI19+AI20+AI21+AI22</f>
        <v>23390</v>
      </c>
      <c r="AJ23" s="134"/>
      <c r="AK23" s="134">
        <f t="shared" ref="AK23:AP23" si="47">SUM(AK15:AK22)</f>
        <v>23390</v>
      </c>
      <c r="AL23" s="134">
        <f t="shared" si="47"/>
        <v>21656.34</v>
      </c>
      <c r="AM23" s="134">
        <f>SUM(AM15:AM22)-AM22</f>
        <v>1719.2200000000003</v>
      </c>
      <c r="AN23" s="134">
        <f t="shared" si="47"/>
        <v>0</v>
      </c>
      <c r="AO23" s="134">
        <f t="shared" si="47"/>
        <v>0</v>
      </c>
      <c r="AP23" s="134">
        <f t="shared" si="47"/>
        <v>23390</v>
      </c>
      <c r="AQ23" s="134">
        <f>AQ15+AQ16+AQ17+AQ18+AQ19+AQ20+AQ21+AQ22</f>
        <v>23390</v>
      </c>
      <c r="AR23" s="134">
        <f>AR15+AR16+AR17+AR18+AR19+AR20+AR21+AR22</f>
        <v>21523.780000000002</v>
      </c>
      <c r="AS23" s="134">
        <f>AS15+AS16+AS17+AS18+AS19+AS20+AS21+AS22</f>
        <v>1866.2199999999996</v>
      </c>
      <c r="AT23" s="134"/>
      <c r="AU23" s="134"/>
      <c r="AV23" s="134">
        <f>SUM(AV15:AV22)</f>
        <v>23390</v>
      </c>
      <c r="AW23" s="134">
        <f>SUM(AW15:AW22)</f>
        <v>23390</v>
      </c>
      <c r="AX23" s="134">
        <f>SUM(AX15:AX22)</f>
        <v>21991.88</v>
      </c>
      <c r="AY23" s="134">
        <f>SUM(AY15:AY22)</f>
        <v>1398.1199999999992</v>
      </c>
      <c r="AZ23" s="134"/>
      <c r="BA23" s="134"/>
      <c r="BB23" s="134">
        <f>SUM(BB15:BB22)</f>
        <v>65172</v>
      </c>
      <c r="BC23" s="134">
        <f>SUM(BC15:BC22)</f>
        <v>23390</v>
      </c>
      <c r="BD23" s="134">
        <f>SUM(BD15:BD22)</f>
        <v>23390</v>
      </c>
      <c r="BE23" s="134">
        <f t="shared" ref="BE23:BR23" si="48">SUM(BE15:BE22)</f>
        <v>0</v>
      </c>
      <c r="BF23" s="134">
        <f t="shared" si="48"/>
        <v>0</v>
      </c>
      <c r="BG23" s="134">
        <f t="shared" si="48"/>
        <v>0</v>
      </c>
      <c r="BH23" s="134">
        <f t="shared" si="48"/>
        <v>0</v>
      </c>
      <c r="BI23" s="134">
        <f t="shared" si="48"/>
        <v>23390</v>
      </c>
      <c r="BJ23" s="134">
        <f t="shared" si="48"/>
        <v>21716.46</v>
      </c>
      <c r="BK23" s="134">
        <f t="shared" si="48"/>
        <v>1673.5400000000006</v>
      </c>
      <c r="BL23" s="134"/>
      <c r="BM23" s="134"/>
      <c r="BN23" s="134">
        <f t="shared" si="48"/>
        <v>22390</v>
      </c>
      <c r="BO23" s="134">
        <f t="shared" si="48"/>
        <v>22390</v>
      </c>
      <c r="BP23" s="134">
        <f t="shared" si="48"/>
        <v>22390</v>
      </c>
      <c r="BQ23" s="134">
        <f t="shared" si="48"/>
        <v>14035.39</v>
      </c>
      <c r="BR23" s="134">
        <f t="shared" si="48"/>
        <v>14035.39</v>
      </c>
      <c r="BS23" s="134">
        <f>SUM(BS15:BS22)</f>
        <v>58141.850000000006</v>
      </c>
      <c r="BT23" s="134">
        <f>SUM(BT15:BT22)</f>
        <v>244938.85</v>
      </c>
      <c r="BU23" s="134">
        <f>SUM(BU15:BU22)</f>
        <v>208513.46</v>
      </c>
      <c r="BV23" s="137">
        <f>SUM(BV15:BV22)</f>
        <v>-1673.5400000000006</v>
      </c>
    </row>
    <row r="24" spans="1:119" s="140" customFormat="1" ht="20.25" customHeight="1" thickBot="1" x14ac:dyDescent="0.25">
      <c r="A24" s="141"/>
      <c r="B24" s="142" t="s">
        <v>96</v>
      </c>
      <c r="C24" s="143">
        <f>C14+C23</f>
        <v>3836406</v>
      </c>
      <c r="D24" s="143">
        <f t="shared" ref="D24:BV24" si="49">D14+D23</f>
        <v>266139</v>
      </c>
      <c r="E24" s="143">
        <f t="shared" si="49"/>
        <v>432452</v>
      </c>
      <c r="F24" s="144">
        <f t="shared" si="49"/>
        <v>18272</v>
      </c>
      <c r="G24" s="143">
        <f t="shared" si="49"/>
        <v>342445.98076923075</v>
      </c>
      <c r="H24" s="143">
        <f t="shared" si="49"/>
        <v>253861</v>
      </c>
      <c r="I24" s="144">
        <f t="shared" si="49"/>
        <v>18272</v>
      </c>
      <c r="J24" s="143">
        <f t="shared" si="49"/>
        <v>272496.86000000004</v>
      </c>
      <c r="K24" s="143">
        <f t="shared" si="49"/>
        <v>475254</v>
      </c>
      <c r="L24" s="145">
        <f t="shared" si="49"/>
        <v>1275.1800000000071</v>
      </c>
      <c r="M24" s="143">
        <f t="shared" si="49"/>
        <v>279944.29643688002</v>
      </c>
      <c r="N24" s="143">
        <f t="shared" si="49"/>
        <v>489406</v>
      </c>
      <c r="O24" s="146">
        <f t="shared" si="49"/>
        <v>1505.2272983899852</v>
      </c>
      <c r="P24" s="143">
        <f t="shared" si="49"/>
        <v>349135.66666666663</v>
      </c>
      <c r="Q24" s="145">
        <f t="shared" si="49"/>
        <v>2780.4072983899928</v>
      </c>
      <c r="R24" s="143">
        <f t="shared" si="49"/>
        <v>1397112</v>
      </c>
      <c r="S24" s="143">
        <f t="shared" si="49"/>
        <v>1467140</v>
      </c>
      <c r="T24" s="147">
        <f t="shared" si="49"/>
        <v>256676.84000000003</v>
      </c>
      <c r="U24" s="143">
        <f t="shared" si="49"/>
        <v>263747.20729838999</v>
      </c>
      <c r="V24" s="143">
        <f t="shared" si="49"/>
        <v>417324</v>
      </c>
      <c r="W24" s="144">
        <f t="shared" si="49"/>
        <v>20476.019259077002</v>
      </c>
      <c r="X24" s="143">
        <f t="shared" si="49"/>
        <v>289708</v>
      </c>
      <c r="Y24" s="148">
        <f t="shared" si="49"/>
        <v>20476.019259077006</v>
      </c>
      <c r="Z24" s="149">
        <f t="shared" si="49"/>
        <v>252695.04000000001</v>
      </c>
      <c r="AA24" s="150">
        <f t="shared" si="49"/>
        <v>278425.33925907698</v>
      </c>
      <c r="AB24" s="143">
        <f t="shared" si="49"/>
        <v>571382</v>
      </c>
      <c r="AC24" s="151">
        <f t="shared" si="49"/>
        <v>6164</v>
      </c>
      <c r="AD24" s="143">
        <f t="shared" si="49"/>
        <v>246046.49710757995</v>
      </c>
      <c r="AE24" s="143">
        <f t="shared" si="49"/>
        <v>478434</v>
      </c>
      <c r="AF24" s="145">
        <f t="shared" si="49"/>
        <v>10737.040515119974</v>
      </c>
      <c r="AG24" s="152"/>
      <c r="AH24" s="143">
        <f t="shared" si="49"/>
        <v>1853344.27</v>
      </c>
      <c r="AI24" s="143">
        <f t="shared" si="49"/>
        <v>377539.22</v>
      </c>
      <c r="AJ24" s="143"/>
      <c r="AK24" s="143">
        <f>AK14+AK23</f>
        <v>397106.90051512001</v>
      </c>
      <c r="AL24" s="143">
        <f>AL14+AL23</f>
        <v>800178.40999999992</v>
      </c>
      <c r="AM24" s="145">
        <f>AM14+AM23</f>
        <v>29851.178777236582</v>
      </c>
      <c r="AN24" s="143">
        <f>AN14+AN23</f>
        <v>588605.29</v>
      </c>
      <c r="AO24" s="145">
        <f>AO14+AO23</f>
        <v>29851.178777236582</v>
      </c>
      <c r="AP24" s="143">
        <f t="shared" si="49"/>
        <v>379723.36</v>
      </c>
      <c r="AQ24" s="143">
        <f>AQ14+AQ23</f>
        <v>415855.64877723658</v>
      </c>
      <c r="AR24" s="143">
        <f>AR14+AR23</f>
        <v>776998.94</v>
      </c>
      <c r="AS24" s="145">
        <f>AS14+AS23</f>
        <v>32985.58</v>
      </c>
      <c r="AT24" s="153">
        <f>AT14+AT23</f>
        <v>649801.97875000001</v>
      </c>
      <c r="AU24" s="145">
        <f>AU14+AU23</f>
        <v>33000.020000000004</v>
      </c>
      <c r="AV24" s="154">
        <f t="shared" si="49"/>
        <v>332108.89</v>
      </c>
      <c r="AW24" s="154">
        <f>AW14+AW23</f>
        <v>381466.11</v>
      </c>
      <c r="AX24" s="154">
        <f>AX14+AX23</f>
        <v>863955.21</v>
      </c>
      <c r="AY24" s="155">
        <f>AY14+AY23</f>
        <v>1416.3509576297113</v>
      </c>
      <c r="AZ24" s="154">
        <f>AZ14+AZ23</f>
        <v>616813.8277777778</v>
      </c>
      <c r="BA24" s="155">
        <f>BA14+BA23</f>
        <v>1416.350957629711</v>
      </c>
      <c r="BB24" s="154">
        <f t="shared" si="49"/>
        <v>2441132.56</v>
      </c>
      <c r="BC24" s="154">
        <f>BC14+BC23</f>
        <v>430032.80000000005</v>
      </c>
      <c r="BD24" s="154">
        <f>BD14+BD23</f>
        <v>419330.36095762969</v>
      </c>
      <c r="BE24" s="154">
        <f t="shared" ref="BE24:BR24" si="50">BE14+BE23</f>
        <v>203000</v>
      </c>
      <c r="BF24" s="154">
        <f t="shared" si="50"/>
        <v>26713.59</v>
      </c>
      <c r="BG24" s="154">
        <f t="shared" si="50"/>
        <v>145647.39000000001</v>
      </c>
      <c r="BH24" s="154">
        <f t="shared" si="50"/>
        <v>30639.02</v>
      </c>
      <c r="BI24" s="154">
        <f t="shared" si="50"/>
        <v>449982.98095762968</v>
      </c>
      <c r="BJ24" s="154">
        <f t="shared" si="50"/>
        <v>961442.76</v>
      </c>
      <c r="BK24" s="155">
        <f>BK14+BK23</f>
        <v>4520.5403706994803</v>
      </c>
      <c r="BL24" s="154">
        <f>BL14+BL23</f>
        <v>634951.95499999996</v>
      </c>
      <c r="BM24" s="154"/>
      <c r="BN24" s="154">
        <f t="shared" si="50"/>
        <v>233790</v>
      </c>
      <c r="BO24" s="154">
        <f t="shared" si="50"/>
        <v>375498.36</v>
      </c>
      <c r="BP24" s="154">
        <f t="shared" si="50"/>
        <v>215018.90037069947</v>
      </c>
      <c r="BQ24" s="154">
        <f t="shared" si="50"/>
        <v>100149.99999999999</v>
      </c>
      <c r="BR24" s="154">
        <f t="shared" si="50"/>
        <v>142907.81</v>
      </c>
      <c r="BS24" s="154">
        <f>BS14+BS23</f>
        <v>1484369.4703706997</v>
      </c>
      <c r="BT24" s="154">
        <f>BT14+BT23</f>
        <v>6789754.0303706992</v>
      </c>
      <c r="BU24" s="154">
        <f>BU14+BU23</f>
        <v>6266827.3200000003</v>
      </c>
      <c r="BV24" s="149">
        <f t="shared" si="49"/>
        <v>3.7069947984491591E-4</v>
      </c>
    </row>
    <row r="25" spans="1:119" s="179" customFormat="1" ht="34.5" customHeight="1" thickBot="1" x14ac:dyDescent="0.25">
      <c r="A25" s="156"/>
      <c r="B25" s="157"/>
      <c r="C25" s="158" t="s">
        <v>97</v>
      </c>
      <c r="D25" s="159"/>
      <c r="E25" s="160">
        <f>-(F6+F7+F8+F9+F11)</f>
        <v>184585</v>
      </c>
      <c r="F25" s="161"/>
      <c r="G25" s="162" t="s">
        <v>98</v>
      </c>
      <c r="H25" s="163">
        <f>F24*100/G24</f>
        <v>5.3357320646473667</v>
      </c>
      <c r="I25" s="164"/>
      <c r="J25" s="165" t="s">
        <v>99</v>
      </c>
      <c r="K25" s="166">
        <f>-(L6+L7+L8+L9+L11)</f>
        <v>204032.31783499484</v>
      </c>
      <c r="L25" s="162"/>
      <c r="M25" s="455" t="s">
        <v>99</v>
      </c>
      <c r="N25" s="456"/>
      <c r="O25" s="167">
        <f>-(O6+O7+O8+O9+O11)</f>
        <v>210966.92994509998</v>
      </c>
      <c r="P25" s="457"/>
      <c r="Q25" s="457"/>
      <c r="R25" s="168"/>
      <c r="S25" s="168"/>
      <c r="T25" s="168"/>
      <c r="U25" s="168"/>
      <c r="V25" s="458" t="s">
        <v>99</v>
      </c>
      <c r="W25" s="459"/>
      <c r="X25" s="169">
        <f>-(W7+W8+W9+W11)</f>
        <v>174052.81662366018</v>
      </c>
      <c r="Y25" s="168"/>
      <c r="Z25" s="168"/>
      <c r="AA25" s="458" t="s">
        <v>99</v>
      </c>
      <c r="AB25" s="459"/>
      <c r="AC25" s="170">
        <f xml:space="preserve"> -(AC7+AC8+AC9+AC11)</f>
        <v>299540.65617303824</v>
      </c>
      <c r="AD25" s="168"/>
      <c r="AE25" s="171" t="s">
        <v>99</v>
      </c>
      <c r="AF25" s="172">
        <f>-(AF7+AF8+AF9+AF11)</f>
        <v>243124.54340754001</v>
      </c>
      <c r="AG25" s="173" t="s">
        <v>100</v>
      </c>
      <c r="AH25" s="174">
        <f>AF27*100/AG14</f>
        <v>5.5017392938740679</v>
      </c>
      <c r="AI25" s="168"/>
      <c r="AJ25" s="168"/>
      <c r="AK25" s="168"/>
      <c r="AL25" s="171" t="s">
        <v>99</v>
      </c>
      <c r="AM25" s="175">
        <f>-(AM7+AM8+AM9+AM12+AM13)</f>
        <v>432937.12826211657</v>
      </c>
      <c r="AN25" s="176" t="s">
        <v>100</v>
      </c>
      <c r="AO25" s="177">
        <f>AM27*100/AN14</f>
        <v>5.0715104475592776</v>
      </c>
      <c r="AP25" s="168"/>
      <c r="AQ25" s="168"/>
      <c r="AR25" s="171" t="s">
        <v>99</v>
      </c>
      <c r="AS25" s="175">
        <f>-(AS7+AS8+AS9+AS12+AS13)</f>
        <v>394128.87378808984</v>
      </c>
      <c r="AT25" s="175"/>
      <c r="AU25" s="175"/>
      <c r="AV25" s="176" t="s">
        <v>100</v>
      </c>
      <c r="AW25" s="177">
        <f>AS27*100/AT14</f>
        <v>5.0784733009710008</v>
      </c>
      <c r="AX25" s="178" t="s">
        <v>99</v>
      </c>
      <c r="AY25" s="175">
        <f>-(AY6+AY7+AY8+AY9+AY12+AY13)</f>
        <v>483905.45095762971</v>
      </c>
      <c r="AZ25" s="176" t="s">
        <v>100</v>
      </c>
      <c r="BA25" s="177">
        <f>AY24*100/AZ24</f>
        <v>0.22962373634398905</v>
      </c>
      <c r="BC25" s="168"/>
      <c r="BD25" s="168"/>
      <c r="BE25" s="168"/>
      <c r="BF25" s="168"/>
      <c r="BG25" s="168"/>
      <c r="BH25" s="168"/>
      <c r="BI25" s="168"/>
      <c r="BJ25" s="168"/>
      <c r="BK25" s="180" t="s">
        <v>99</v>
      </c>
      <c r="BL25" s="175">
        <f>-(BK6+BK7+BK8+BK9+BK12+BK13)</f>
        <v>515980.31941306981</v>
      </c>
      <c r="BM25" s="181" t="s">
        <v>100</v>
      </c>
      <c r="BN25" s="182"/>
      <c r="BO25" s="183">
        <f>BK24*100/BL24</f>
        <v>0.71194998851519098</v>
      </c>
      <c r="BP25" s="184"/>
      <c r="BQ25" s="168"/>
      <c r="BR25" s="168"/>
      <c r="BS25" s="168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</row>
    <row r="26" spans="1:119" s="186" customFormat="1" ht="36" hidden="1" customHeight="1" x14ac:dyDescent="0.2">
      <c r="B26" s="187"/>
      <c r="C26" s="188"/>
      <c r="D26" s="189"/>
      <c r="E26" s="190"/>
      <c r="F26" s="189"/>
      <c r="G26" s="189"/>
      <c r="H26" s="191"/>
      <c r="I26" s="191"/>
      <c r="J26" s="188"/>
      <c r="K26" s="191"/>
      <c r="L26" s="460" t="s">
        <v>101</v>
      </c>
      <c r="M26" s="461"/>
      <c r="N26" s="192"/>
      <c r="O26" s="193" t="s">
        <v>98</v>
      </c>
      <c r="P26" s="194" t="e">
        <f>#REF!*100/P24</f>
        <v>#REF!</v>
      </c>
      <c r="Q26" s="191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95" t="e">
        <f>#REF!+#REF!+#REF!</f>
        <v>#REF!</v>
      </c>
      <c r="BU26" s="189"/>
    </row>
    <row r="27" spans="1:119" ht="33" customHeight="1" thickBot="1" x14ac:dyDescent="0.25">
      <c r="B27" s="196"/>
      <c r="C27" s="12"/>
      <c r="K27" s="462"/>
      <c r="L27" s="463"/>
      <c r="M27" s="197" t="s">
        <v>102</v>
      </c>
      <c r="N27" s="198">
        <f>L24+O24</f>
        <v>2780.4072983899923</v>
      </c>
      <c r="O27" s="199" t="s">
        <v>103</v>
      </c>
      <c r="P27" s="200">
        <f>N27*100/P24</f>
        <v>0.79636873681099873</v>
      </c>
      <c r="S27" s="11"/>
      <c r="W27" s="201" t="s">
        <v>103</v>
      </c>
      <c r="X27" s="202">
        <f>W24*100/X24</f>
        <v>7.0678128526229873</v>
      </c>
      <c r="AB27" s="203" t="s">
        <v>104</v>
      </c>
      <c r="AC27" s="204">
        <f>AC24</f>
        <v>6164</v>
      </c>
      <c r="AE27" s="205" t="s">
        <v>105</v>
      </c>
      <c r="AF27" s="206">
        <f>AC27+AF24</f>
        <v>16901.040515119974</v>
      </c>
      <c r="AG27" s="11"/>
      <c r="AL27" s="205" t="s">
        <v>105</v>
      </c>
      <c r="AM27" s="206">
        <f>AJ27+AM24</f>
        <v>29851.178777236582</v>
      </c>
      <c r="AR27" s="205" t="s">
        <v>105</v>
      </c>
      <c r="AS27" s="206">
        <f>AS24+14.44</f>
        <v>33000.020000000004</v>
      </c>
      <c r="AV27" s="205" t="s">
        <v>105</v>
      </c>
      <c r="AW27" s="206">
        <f>AY24</f>
        <v>1416.3509576297113</v>
      </c>
      <c r="BB27" s="11"/>
      <c r="BD27" s="11"/>
      <c r="BE27" s="11"/>
      <c r="BF27" s="11"/>
      <c r="BG27" s="11"/>
      <c r="BH27" s="11"/>
      <c r="BI27" s="454"/>
      <c r="BJ27" s="454"/>
      <c r="BK27" s="454"/>
      <c r="BL27" s="454"/>
      <c r="BM27" s="454"/>
      <c r="BN27" s="454"/>
    </row>
    <row r="28" spans="1:119" x14ac:dyDescent="0.2">
      <c r="B28" s="207"/>
      <c r="C28" s="208"/>
    </row>
    <row r="30" spans="1:119" x14ac:dyDescent="0.2">
      <c r="B30" s="209"/>
      <c r="C30" s="210"/>
      <c r="D30" s="211"/>
      <c r="E30" s="212"/>
      <c r="F30" s="210"/>
      <c r="G30" s="210"/>
      <c r="H30" s="213"/>
      <c r="I30" s="213"/>
      <c r="J30" s="210"/>
      <c r="K30" s="213"/>
      <c r="L30" s="213"/>
      <c r="M30" s="213"/>
      <c r="N30" s="213"/>
      <c r="O30" s="213"/>
      <c r="P30" s="213"/>
      <c r="Q30" s="213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4"/>
      <c r="BU30" s="215"/>
    </row>
    <row r="31" spans="1:119" ht="15.75" customHeight="1" x14ac:dyDescent="0.2">
      <c r="B31" s="209"/>
      <c r="C31" s="210"/>
      <c r="D31" s="211"/>
      <c r="E31" s="216"/>
      <c r="F31" s="211"/>
      <c r="G31" s="211"/>
      <c r="H31" s="213"/>
      <c r="I31" s="213"/>
      <c r="J31" s="210"/>
      <c r="K31" s="213"/>
      <c r="L31" s="213"/>
      <c r="M31" s="213"/>
      <c r="N31" s="213"/>
      <c r="O31" s="213"/>
      <c r="P31" s="213"/>
      <c r="Q31" s="213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1"/>
    </row>
    <row r="32" spans="1:119" ht="15" customHeight="1" x14ac:dyDescent="0.2">
      <c r="B32" s="217"/>
      <c r="C32" s="210"/>
      <c r="D32" s="211"/>
      <c r="E32" s="212"/>
      <c r="F32" s="211"/>
      <c r="G32" s="211"/>
      <c r="H32" s="213"/>
      <c r="I32" s="213"/>
      <c r="J32" s="210"/>
      <c r="K32" s="211"/>
      <c r="L32" s="213"/>
      <c r="M32" s="213"/>
      <c r="N32" s="213"/>
      <c r="O32" s="213"/>
      <c r="P32" s="213"/>
      <c r="Q32" s="213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8"/>
      <c r="BU32" s="211"/>
    </row>
    <row r="33" spans="2:73" ht="17.25" customHeight="1" x14ac:dyDescent="0.2">
      <c r="B33" s="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212"/>
      <c r="BU33" s="211"/>
    </row>
    <row r="34" spans="2:73" ht="25.5" hidden="1" customHeight="1" x14ac:dyDescent="0.2"/>
    <row r="35" spans="2:73" ht="25.5" hidden="1" customHeight="1" x14ac:dyDescent="0.2"/>
    <row r="36" spans="2:73" ht="25.5" hidden="1" customHeight="1" x14ac:dyDescent="0.2"/>
    <row r="37" spans="2:73" ht="25.5" customHeight="1" x14ac:dyDescent="0.2"/>
    <row r="38" spans="2:73" ht="25.5" customHeight="1" x14ac:dyDescent="0.2"/>
    <row r="39" spans="2:73" ht="25.5" customHeight="1" x14ac:dyDescent="0.2"/>
    <row r="40" spans="2:73" ht="25.5" customHeight="1" x14ac:dyDescent="0.2"/>
    <row r="41" spans="2:73" ht="25.5" customHeight="1" x14ac:dyDescent="0.2"/>
    <row r="42" spans="2:73" ht="25.5" customHeight="1" x14ac:dyDescent="0.2"/>
    <row r="43" spans="2:73" ht="25.5" customHeight="1" x14ac:dyDescent="0.2"/>
    <row r="44" spans="2:73" ht="25.5" customHeight="1" x14ac:dyDescent="0.2"/>
    <row r="45" spans="2:73" ht="25.5" customHeight="1" x14ac:dyDescent="0.2"/>
    <row r="46" spans="2:73" ht="25.5" customHeight="1" x14ac:dyDescent="0.2"/>
    <row r="47" spans="2:73" ht="25.5" customHeight="1" x14ac:dyDescent="0.2"/>
    <row r="48" spans="2:73" ht="25.5" customHeight="1" x14ac:dyDescent="0.2"/>
    <row r="49" ht="25.5" customHeight="1" x14ac:dyDescent="0.2"/>
    <row r="50" ht="25.5" customHeight="1" x14ac:dyDescent="0.2"/>
    <row r="51" ht="25.5" customHeight="1" x14ac:dyDescent="0.2"/>
    <row r="52" ht="25.5" customHeight="1" x14ac:dyDescent="0.2"/>
    <row r="53" ht="25.5" customHeight="1" x14ac:dyDescent="0.2"/>
    <row r="54" ht="25.5" customHeight="1" x14ac:dyDescent="0.2"/>
    <row r="55" ht="25.5" customHeight="1" x14ac:dyDescent="0.2"/>
    <row r="56" ht="25.5" customHeight="1" x14ac:dyDescent="0.2"/>
    <row r="57" ht="25.5" customHeight="1" x14ac:dyDescent="0.2"/>
    <row r="58" ht="25.5" customHeight="1" x14ac:dyDescent="0.2"/>
    <row r="59" ht="25.5" customHeight="1" x14ac:dyDescent="0.2"/>
    <row r="60" ht="25.5" customHeight="1" x14ac:dyDescent="0.2"/>
    <row r="61" ht="25.5" customHeight="1" x14ac:dyDescent="0.2"/>
    <row r="62" ht="25.5" customHeight="1" x14ac:dyDescent="0.2"/>
    <row r="63" ht="25.5" customHeight="1" x14ac:dyDescent="0.2"/>
    <row r="64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</sheetData>
  <mergeCells count="7">
    <mergeCell ref="BI27:BN27"/>
    <mergeCell ref="M25:N25"/>
    <mergeCell ref="P25:Q25"/>
    <mergeCell ref="V25:W25"/>
    <mergeCell ref="AA25:AB25"/>
    <mergeCell ref="L26:M26"/>
    <mergeCell ref="K27:L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941D-93B1-4AE0-B207-D695644EED0D}">
  <dimension ref="A1:DN30"/>
  <sheetViews>
    <sheetView tabSelected="1" topLeftCell="A7" workbookViewId="0">
      <selection activeCell="BF29" sqref="BF29"/>
    </sheetView>
  </sheetViews>
  <sheetFormatPr defaultRowHeight="14.25" x14ac:dyDescent="0.2"/>
  <cols>
    <col min="1" max="1" width="3.28515625" style="13" customWidth="1"/>
    <col min="2" max="2" width="34.28515625" style="8" customWidth="1"/>
    <col min="3" max="3" width="13" style="11" bestFit="1" customWidth="1"/>
    <col min="4" max="4" width="10.42578125" style="10" hidden="1" customWidth="1"/>
    <col min="5" max="5" width="11.7109375" style="11" hidden="1" customWidth="1"/>
    <col min="6" max="6" width="13.7109375" style="10" hidden="1" customWidth="1"/>
    <col min="7" max="7" width="12.28515625" style="10" hidden="1" customWidth="1"/>
    <col min="8" max="8" width="10.42578125" style="10" hidden="1" customWidth="1"/>
    <col min="9" max="9" width="9.42578125" style="10" hidden="1" customWidth="1"/>
    <col min="10" max="10" width="12.28515625" style="10" hidden="1" customWidth="1"/>
    <col min="11" max="11" width="10.42578125" style="10" hidden="1" customWidth="1"/>
    <col min="12" max="12" width="13.140625" style="10" hidden="1" customWidth="1"/>
    <col min="13" max="13" width="10.7109375" style="10" hidden="1" customWidth="1"/>
    <col min="14" max="14" width="10.85546875" style="10" hidden="1" customWidth="1"/>
    <col min="15" max="15" width="13.140625" style="10" hidden="1" customWidth="1"/>
    <col min="16" max="16" width="11.85546875" style="10" hidden="1" customWidth="1"/>
    <col min="17" max="17" width="8.28515625" style="10" hidden="1" customWidth="1"/>
    <col min="18" max="18" width="12.28515625" style="13" customWidth="1"/>
    <col min="19" max="19" width="11.85546875" style="13" customWidth="1"/>
    <col min="20" max="21" width="11.28515625" style="13" hidden="1" customWidth="1"/>
    <col min="22" max="22" width="13.140625" style="13" hidden="1" customWidth="1"/>
    <col min="23" max="23" width="11.42578125" style="13" hidden="1" customWidth="1"/>
    <col min="24" max="24" width="8.42578125" style="13" hidden="1" customWidth="1"/>
    <col min="25" max="25" width="10.42578125" style="13" hidden="1" customWidth="1"/>
    <col min="26" max="27" width="11.28515625" style="13" hidden="1" customWidth="1"/>
    <col min="28" max="28" width="13.140625" style="13" hidden="1" customWidth="1"/>
    <col min="29" max="29" width="12.28515625" style="13" hidden="1" customWidth="1"/>
    <col min="30" max="30" width="11.28515625" style="13" hidden="1" customWidth="1"/>
    <col min="31" max="31" width="13.140625" style="13" hidden="1" customWidth="1"/>
    <col min="32" max="32" width="12.7109375" style="13" hidden="1" customWidth="1"/>
    <col min="33" max="33" width="12" style="13" hidden="1" customWidth="1"/>
    <col min="34" max="34" width="10.42578125" style="13" hidden="1" customWidth="1"/>
    <col min="35" max="35" width="11.5703125" style="13" hidden="1" customWidth="1"/>
    <col min="36" max="36" width="10.42578125" style="13" hidden="1" customWidth="1"/>
    <col min="37" max="37" width="11.5703125" style="13" hidden="1" customWidth="1"/>
    <col min="38" max="38" width="11.28515625" style="13" hidden="1" customWidth="1"/>
    <col min="39" max="39" width="12.7109375" style="13" hidden="1" customWidth="1"/>
    <col min="40" max="40" width="11.85546875" style="13" hidden="1" customWidth="1"/>
    <col min="41" max="41" width="11.28515625" style="13" hidden="1" customWidth="1"/>
    <col min="42" max="42" width="11.28515625" style="8" hidden="1" customWidth="1"/>
    <col min="43" max="43" width="12.28515625" style="8" hidden="1" customWidth="1"/>
    <col min="44" max="44" width="11.85546875" style="8" hidden="1" customWidth="1"/>
    <col min="45" max="45" width="11.42578125" style="8" hidden="1" customWidth="1"/>
    <col min="46" max="46" width="10.140625" style="8" hidden="1" customWidth="1"/>
    <col min="47" max="47" width="10.42578125" style="13" hidden="1" customWidth="1"/>
    <col min="48" max="48" width="11.28515625" style="13" hidden="1" customWidth="1"/>
    <col min="49" max="49" width="11.7109375" style="13" hidden="1" customWidth="1"/>
    <col min="50" max="50" width="12" style="13" hidden="1" customWidth="1"/>
    <col min="51" max="51" width="11.85546875" style="13" bestFit="1" customWidth="1"/>
    <col min="52" max="52" width="11.28515625" style="13" hidden="1" customWidth="1"/>
    <col min="53" max="53" width="10.85546875" style="13" hidden="1" customWidth="1"/>
    <col min="54" max="54" width="10.140625" style="13" hidden="1" customWidth="1"/>
    <col min="55" max="55" width="10.42578125" style="13" hidden="1" customWidth="1"/>
    <col min="56" max="56" width="10.140625" style="13" hidden="1" customWidth="1"/>
    <col min="57" max="57" width="11.28515625" style="13" hidden="1" customWidth="1"/>
    <col min="58" max="59" width="11.28515625" style="13" customWidth="1"/>
    <col min="60" max="60" width="11" style="13" customWidth="1"/>
    <col min="61" max="61" width="9.140625" style="13" bestFit="1"/>
    <col min="62" max="62" width="10.42578125" style="13" hidden="1" customWidth="1"/>
    <col min="63" max="64" width="11.28515625" style="13" customWidth="1"/>
    <col min="65" max="65" width="9.42578125" style="13" hidden="1" customWidth="1"/>
    <col min="66" max="66" width="11.28515625" style="13" customWidth="1"/>
    <col min="67" max="67" width="11.28515625" style="13" bestFit="1" customWidth="1"/>
    <col min="68" max="68" width="14" style="219" bestFit="1" customWidth="1"/>
    <col min="69" max="69" width="13.140625" style="13" customWidth="1"/>
    <col min="70" max="70" width="1.28515625" style="13" hidden="1" customWidth="1"/>
    <col min="71" max="71" width="10.7109375" style="13" customWidth="1"/>
    <col min="72" max="256" width="9.140625" style="13"/>
    <col min="257" max="257" width="3.28515625" style="13" customWidth="1"/>
    <col min="258" max="258" width="34.28515625" style="13" customWidth="1"/>
    <col min="259" max="259" width="13" style="13" bestFit="1" customWidth="1"/>
    <col min="260" max="273" width="0" style="13" hidden="1" customWidth="1"/>
    <col min="274" max="274" width="12.28515625" style="13" customWidth="1"/>
    <col min="275" max="275" width="11.85546875" style="13" customWidth="1"/>
    <col min="276" max="306" width="0" style="13" hidden="1" customWidth="1"/>
    <col min="307" max="307" width="11.85546875" style="13" bestFit="1" customWidth="1"/>
    <col min="308" max="313" width="0" style="13" hidden="1" customWidth="1"/>
    <col min="314" max="315" width="11.28515625" style="13" customWidth="1"/>
    <col min="316" max="316" width="11" style="13" customWidth="1"/>
    <col min="317" max="317" width="9.140625" style="13" bestFit="1"/>
    <col min="318" max="318" width="0" style="13" hidden="1" customWidth="1"/>
    <col min="319" max="320" width="11.28515625" style="13" customWidth="1"/>
    <col min="321" max="321" width="0" style="13" hidden="1" customWidth="1"/>
    <col min="322" max="322" width="11.28515625" style="13" customWidth="1"/>
    <col min="323" max="323" width="11.28515625" style="13" bestFit="1" customWidth="1"/>
    <col min="324" max="324" width="14" style="13" bestFit="1" customWidth="1"/>
    <col min="325" max="325" width="13.140625" style="13" customWidth="1"/>
    <col min="326" max="326" width="0" style="13" hidden="1" customWidth="1"/>
    <col min="327" max="327" width="10.7109375" style="13" customWidth="1"/>
    <col min="328" max="512" width="9.140625" style="13"/>
    <col min="513" max="513" width="3.28515625" style="13" customWidth="1"/>
    <col min="514" max="514" width="34.28515625" style="13" customWidth="1"/>
    <col min="515" max="515" width="13" style="13" bestFit="1" customWidth="1"/>
    <col min="516" max="529" width="0" style="13" hidden="1" customWidth="1"/>
    <col min="530" max="530" width="12.28515625" style="13" customWidth="1"/>
    <col min="531" max="531" width="11.85546875" style="13" customWidth="1"/>
    <col min="532" max="562" width="0" style="13" hidden="1" customWidth="1"/>
    <col min="563" max="563" width="11.85546875" style="13" bestFit="1" customWidth="1"/>
    <col min="564" max="569" width="0" style="13" hidden="1" customWidth="1"/>
    <col min="570" max="571" width="11.28515625" style="13" customWidth="1"/>
    <col min="572" max="572" width="11" style="13" customWidth="1"/>
    <col min="573" max="573" width="9.140625" style="13" bestFit="1"/>
    <col min="574" max="574" width="0" style="13" hidden="1" customWidth="1"/>
    <col min="575" max="576" width="11.28515625" style="13" customWidth="1"/>
    <col min="577" max="577" width="0" style="13" hidden="1" customWidth="1"/>
    <col min="578" max="578" width="11.28515625" style="13" customWidth="1"/>
    <col min="579" max="579" width="11.28515625" style="13" bestFit="1" customWidth="1"/>
    <col min="580" max="580" width="14" style="13" bestFit="1" customWidth="1"/>
    <col min="581" max="581" width="13.140625" style="13" customWidth="1"/>
    <col min="582" max="582" width="0" style="13" hidden="1" customWidth="1"/>
    <col min="583" max="583" width="10.7109375" style="13" customWidth="1"/>
    <col min="584" max="768" width="9.140625" style="13"/>
    <col min="769" max="769" width="3.28515625" style="13" customWidth="1"/>
    <col min="770" max="770" width="34.28515625" style="13" customWidth="1"/>
    <col min="771" max="771" width="13" style="13" bestFit="1" customWidth="1"/>
    <col min="772" max="785" width="0" style="13" hidden="1" customWidth="1"/>
    <col min="786" max="786" width="12.28515625" style="13" customWidth="1"/>
    <col min="787" max="787" width="11.85546875" style="13" customWidth="1"/>
    <col min="788" max="818" width="0" style="13" hidden="1" customWidth="1"/>
    <col min="819" max="819" width="11.85546875" style="13" bestFit="1" customWidth="1"/>
    <col min="820" max="825" width="0" style="13" hidden="1" customWidth="1"/>
    <col min="826" max="827" width="11.28515625" style="13" customWidth="1"/>
    <col min="828" max="828" width="11" style="13" customWidth="1"/>
    <col min="829" max="829" width="9.140625" style="13" bestFit="1"/>
    <col min="830" max="830" width="0" style="13" hidden="1" customWidth="1"/>
    <col min="831" max="832" width="11.28515625" style="13" customWidth="1"/>
    <col min="833" max="833" width="0" style="13" hidden="1" customWidth="1"/>
    <col min="834" max="834" width="11.28515625" style="13" customWidth="1"/>
    <col min="835" max="835" width="11.28515625" style="13" bestFit="1" customWidth="1"/>
    <col min="836" max="836" width="14" style="13" bestFit="1" customWidth="1"/>
    <col min="837" max="837" width="13.140625" style="13" customWidth="1"/>
    <col min="838" max="838" width="0" style="13" hidden="1" customWidth="1"/>
    <col min="839" max="839" width="10.7109375" style="13" customWidth="1"/>
    <col min="840" max="1024" width="9.140625" style="13"/>
    <col min="1025" max="1025" width="3.28515625" style="13" customWidth="1"/>
    <col min="1026" max="1026" width="34.28515625" style="13" customWidth="1"/>
    <col min="1027" max="1027" width="13" style="13" bestFit="1" customWidth="1"/>
    <col min="1028" max="1041" width="0" style="13" hidden="1" customWidth="1"/>
    <col min="1042" max="1042" width="12.28515625" style="13" customWidth="1"/>
    <col min="1043" max="1043" width="11.85546875" style="13" customWidth="1"/>
    <col min="1044" max="1074" width="0" style="13" hidden="1" customWidth="1"/>
    <col min="1075" max="1075" width="11.85546875" style="13" bestFit="1" customWidth="1"/>
    <col min="1076" max="1081" width="0" style="13" hidden="1" customWidth="1"/>
    <col min="1082" max="1083" width="11.28515625" style="13" customWidth="1"/>
    <col min="1084" max="1084" width="11" style="13" customWidth="1"/>
    <col min="1085" max="1085" width="9.140625" style="13" bestFit="1"/>
    <col min="1086" max="1086" width="0" style="13" hidden="1" customWidth="1"/>
    <col min="1087" max="1088" width="11.28515625" style="13" customWidth="1"/>
    <col min="1089" max="1089" width="0" style="13" hidden="1" customWidth="1"/>
    <col min="1090" max="1090" width="11.28515625" style="13" customWidth="1"/>
    <col min="1091" max="1091" width="11.28515625" style="13" bestFit="1" customWidth="1"/>
    <col min="1092" max="1092" width="14" style="13" bestFit="1" customWidth="1"/>
    <col min="1093" max="1093" width="13.140625" style="13" customWidth="1"/>
    <col min="1094" max="1094" width="0" style="13" hidden="1" customWidth="1"/>
    <col min="1095" max="1095" width="10.7109375" style="13" customWidth="1"/>
    <col min="1096" max="1280" width="9.140625" style="13"/>
    <col min="1281" max="1281" width="3.28515625" style="13" customWidth="1"/>
    <col min="1282" max="1282" width="34.28515625" style="13" customWidth="1"/>
    <col min="1283" max="1283" width="13" style="13" bestFit="1" customWidth="1"/>
    <col min="1284" max="1297" width="0" style="13" hidden="1" customWidth="1"/>
    <col min="1298" max="1298" width="12.28515625" style="13" customWidth="1"/>
    <col min="1299" max="1299" width="11.85546875" style="13" customWidth="1"/>
    <col min="1300" max="1330" width="0" style="13" hidden="1" customWidth="1"/>
    <col min="1331" max="1331" width="11.85546875" style="13" bestFit="1" customWidth="1"/>
    <col min="1332" max="1337" width="0" style="13" hidden="1" customWidth="1"/>
    <col min="1338" max="1339" width="11.28515625" style="13" customWidth="1"/>
    <col min="1340" max="1340" width="11" style="13" customWidth="1"/>
    <col min="1341" max="1341" width="9.140625" style="13" bestFit="1"/>
    <col min="1342" max="1342" width="0" style="13" hidden="1" customWidth="1"/>
    <col min="1343" max="1344" width="11.28515625" style="13" customWidth="1"/>
    <col min="1345" max="1345" width="0" style="13" hidden="1" customWidth="1"/>
    <col min="1346" max="1346" width="11.28515625" style="13" customWidth="1"/>
    <col min="1347" max="1347" width="11.28515625" style="13" bestFit="1" customWidth="1"/>
    <col min="1348" max="1348" width="14" style="13" bestFit="1" customWidth="1"/>
    <col min="1349" max="1349" width="13.140625" style="13" customWidth="1"/>
    <col min="1350" max="1350" width="0" style="13" hidden="1" customWidth="1"/>
    <col min="1351" max="1351" width="10.7109375" style="13" customWidth="1"/>
    <col min="1352" max="1536" width="9.140625" style="13"/>
    <col min="1537" max="1537" width="3.28515625" style="13" customWidth="1"/>
    <col min="1538" max="1538" width="34.28515625" style="13" customWidth="1"/>
    <col min="1539" max="1539" width="13" style="13" bestFit="1" customWidth="1"/>
    <col min="1540" max="1553" width="0" style="13" hidden="1" customWidth="1"/>
    <col min="1554" max="1554" width="12.28515625" style="13" customWidth="1"/>
    <col min="1555" max="1555" width="11.85546875" style="13" customWidth="1"/>
    <col min="1556" max="1586" width="0" style="13" hidden="1" customWidth="1"/>
    <col min="1587" max="1587" width="11.85546875" style="13" bestFit="1" customWidth="1"/>
    <col min="1588" max="1593" width="0" style="13" hidden="1" customWidth="1"/>
    <col min="1594" max="1595" width="11.28515625" style="13" customWidth="1"/>
    <col min="1596" max="1596" width="11" style="13" customWidth="1"/>
    <col min="1597" max="1597" width="9.140625" style="13" bestFit="1"/>
    <col min="1598" max="1598" width="0" style="13" hidden="1" customWidth="1"/>
    <col min="1599" max="1600" width="11.28515625" style="13" customWidth="1"/>
    <col min="1601" max="1601" width="0" style="13" hidden="1" customWidth="1"/>
    <col min="1602" max="1602" width="11.28515625" style="13" customWidth="1"/>
    <col min="1603" max="1603" width="11.28515625" style="13" bestFit="1" customWidth="1"/>
    <col min="1604" max="1604" width="14" style="13" bestFit="1" customWidth="1"/>
    <col min="1605" max="1605" width="13.140625" style="13" customWidth="1"/>
    <col min="1606" max="1606" width="0" style="13" hidden="1" customWidth="1"/>
    <col min="1607" max="1607" width="10.7109375" style="13" customWidth="1"/>
    <col min="1608" max="1792" width="9.140625" style="13"/>
    <col min="1793" max="1793" width="3.28515625" style="13" customWidth="1"/>
    <col min="1794" max="1794" width="34.28515625" style="13" customWidth="1"/>
    <col min="1795" max="1795" width="13" style="13" bestFit="1" customWidth="1"/>
    <col min="1796" max="1809" width="0" style="13" hidden="1" customWidth="1"/>
    <col min="1810" max="1810" width="12.28515625" style="13" customWidth="1"/>
    <col min="1811" max="1811" width="11.85546875" style="13" customWidth="1"/>
    <col min="1812" max="1842" width="0" style="13" hidden="1" customWidth="1"/>
    <col min="1843" max="1843" width="11.85546875" style="13" bestFit="1" customWidth="1"/>
    <col min="1844" max="1849" width="0" style="13" hidden="1" customWidth="1"/>
    <col min="1850" max="1851" width="11.28515625" style="13" customWidth="1"/>
    <col min="1852" max="1852" width="11" style="13" customWidth="1"/>
    <col min="1853" max="1853" width="9.140625" style="13" bestFit="1"/>
    <col min="1854" max="1854" width="0" style="13" hidden="1" customWidth="1"/>
    <col min="1855" max="1856" width="11.28515625" style="13" customWidth="1"/>
    <col min="1857" max="1857" width="0" style="13" hidden="1" customWidth="1"/>
    <col min="1858" max="1858" width="11.28515625" style="13" customWidth="1"/>
    <col min="1859" max="1859" width="11.28515625" style="13" bestFit="1" customWidth="1"/>
    <col min="1860" max="1860" width="14" style="13" bestFit="1" customWidth="1"/>
    <col min="1861" max="1861" width="13.140625" style="13" customWidth="1"/>
    <col min="1862" max="1862" width="0" style="13" hidden="1" customWidth="1"/>
    <col min="1863" max="1863" width="10.7109375" style="13" customWidth="1"/>
    <col min="1864" max="2048" width="9.140625" style="13"/>
    <col min="2049" max="2049" width="3.28515625" style="13" customWidth="1"/>
    <col min="2050" max="2050" width="34.28515625" style="13" customWidth="1"/>
    <col min="2051" max="2051" width="13" style="13" bestFit="1" customWidth="1"/>
    <col min="2052" max="2065" width="0" style="13" hidden="1" customWidth="1"/>
    <col min="2066" max="2066" width="12.28515625" style="13" customWidth="1"/>
    <col min="2067" max="2067" width="11.85546875" style="13" customWidth="1"/>
    <col min="2068" max="2098" width="0" style="13" hidden="1" customWidth="1"/>
    <col min="2099" max="2099" width="11.85546875" style="13" bestFit="1" customWidth="1"/>
    <col min="2100" max="2105" width="0" style="13" hidden="1" customWidth="1"/>
    <col min="2106" max="2107" width="11.28515625" style="13" customWidth="1"/>
    <col min="2108" max="2108" width="11" style="13" customWidth="1"/>
    <col min="2109" max="2109" width="9.140625" style="13" bestFit="1"/>
    <col min="2110" max="2110" width="0" style="13" hidden="1" customWidth="1"/>
    <col min="2111" max="2112" width="11.28515625" style="13" customWidth="1"/>
    <col min="2113" max="2113" width="0" style="13" hidden="1" customWidth="1"/>
    <col min="2114" max="2114" width="11.28515625" style="13" customWidth="1"/>
    <col min="2115" max="2115" width="11.28515625" style="13" bestFit="1" customWidth="1"/>
    <col min="2116" max="2116" width="14" style="13" bestFit="1" customWidth="1"/>
    <col min="2117" max="2117" width="13.140625" style="13" customWidth="1"/>
    <col min="2118" max="2118" width="0" style="13" hidden="1" customWidth="1"/>
    <col min="2119" max="2119" width="10.7109375" style="13" customWidth="1"/>
    <col min="2120" max="2304" width="9.140625" style="13"/>
    <col min="2305" max="2305" width="3.28515625" style="13" customWidth="1"/>
    <col min="2306" max="2306" width="34.28515625" style="13" customWidth="1"/>
    <col min="2307" max="2307" width="13" style="13" bestFit="1" customWidth="1"/>
    <col min="2308" max="2321" width="0" style="13" hidden="1" customWidth="1"/>
    <col min="2322" max="2322" width="12.28515625" style="13" customWidth="1"/>
    <col min="2323" max="2323" width="11.85546875" style="13" customWidth="1"/>
    <col min="2324" max="2354" width="0" style="13" hidden="1" customWidth="1"/>
    <col min="2355" max="2355" width="11.85546875" style="13" bestFit="1" customWidth="1"/>
    <col min="2356" max="2361" width="0" style="13" hidden="1" customWidth="1"/>
    <col min="2362" max="2363" width="11.28515625" style="13" customWidth="1"/>
    <col min="2364" max="2364" width="11" style="13" customWidth="1"/>
    <col min="2365" max="2365" width="9.140625" style="13" bestFit="1"/>
    <col min="2366" max="2366" width="0" style="13" hidden="1" customWidth="1"/>
    <col min="2367" max="2368" width="11.28515625" style="13" customWidth="1"/>
    <col min="2369" max="2369" width="0" style="13" hidden="1" customWidth="1"/>
    <col min="2370" max="2370" width="11.28515625" style="13" customWidth="1"/>
    <col min="2371" max="2371" width="11.28515625" style="13" bestFit="1" customWidth="1"/>
    <col min="2372" max="2372" width="14" style="13" bestFit="1" customWidth="1"/>
    <col min="2373" max="2373" width="13.140625" style="13" customWidth="1"/>
    <col min="2374" max="2374" width="0" style="13" hidden="1" customWidth="1"/>
    <col min="2375" max="2375" width="10.7109375" style="13" customWidth="1"/>
    <col min="2376" max="2560" width="9.140625" style="13"/>
    <col min="2561" max="2561" width="3.28515625" style="13" customWidth="1"/>
    <col min="2562" max="2562" width="34.28515625" style="13" customWidth="1"/>
    <col min="2563" max="2563" width="13" style="13" bestFit="1" customWidth="1"/>
    <col min="2564" max="2577" width="0" style="13" hidden="1" customWidth="1"/>
    <col min="2578" max="2578" width="12.28515625" style="13" customWidth="1"/>
    <col min="2579" max="2579" width="11.85546875" style="13" customWidth="1"/>
    <col min="2580" max="2610" width="0" style="13" hidden="1" customWidth="1"/>
    <col min="2611" max="2611" width="11.85546875" style="13" bestFit="1" customWidth="1"/>
    <col min="2612" max="2617" width="0" style="13" hidden="1" customWidth="1"/>
    <col min="2618" max="2619" width="11.28515625" style="13" customWidth="1"/>
    <col min="2620" max="2620" width="11" style="13" customWidth="1"/>
    <col min="2621" max="2621" width="9.140625" style="13" bestFit="1"/>
    <col min="2622" max="2622" width="0" style="13" hidden="1" customWidth="1"/>
    <col min="2623" max="2624" width="11.28515625" style="13" customWidth="1"/>
    <col min="2625" max="2625" width="0" style="13" hidden="1" customWidth="1"/>
    <col min="2626" max="2626" width="11.28515625" style="13" customWidth="1"/>
    <col min="2627" max="2627" width="11.28515625" style="13" bestFit="1" customWidth="1"/>
    <col min="2628" max="2628" width="14" style="13" bestFit="1" customWidth="1"/>
    <col min="2629" max="2629" width="13.140625" style="13" customWidth="1"/>
    <col min="2630" max="2630" width="0" style="13" hidden="1" customWidth="1"/>
    <col min="2631" max="2631" width="10.7109375" style="13" customWidth="1"/>
    <col min="2632" max="2816" width="9.140625" style="13"/>
    <col min="2817" max="2817" width="3.28515625" style="13" customWidth="1"/>
    <col min="2818" max="2818" width="34.28515625" style="13" customWidth="1"/>
    <col min="2819" max="2819" width="13" style="13" bestFit="1" customWidth="1"/>
    <col min="2820" max="2833" width="0" style="13" hidden="1" customWidth="1"/>
    <col min="2834" max="2834" width="12.28515625" style="13" customWidth="1"/>
    <col min="2835" max="2835" width="11.85546875" style="13" customWidth="1"/>
    <col min="2836" max="2866" width="0" style="13" hidden="1" customWidth="1"/>
    <col min="2867" max="2867" width="11.85546875" style="13" bestFit="1" customWidth="1"/>
    <col min="2868" max="2873" width="0" style="13" hidden="1" customWidth="1"/>
    <col min="2874" max="2875" width="11.28515625" style="13" customWidth="1"/>
    <col min="2876" max="2876" width="11" style="13" customWidth="1"/>
    <col min="2877" max="2877" width="9.140625" style="13" bestFit="1"/>
    <col min="2878" max="2878" width="0" style="13" hidden="1" customWidth="1"/>
    <col min="2879" max="2880" width="11.28515625" style="13" customWidth="1"/>
    <col min="2881" max="2881" width="0" style="13" hidden="1" customWidth="1"/>
    <col min="2882" max="2882" width="11.28515625" style="13" customWidth="1"/>
    <col min="2883" max="2883" width="11.28515625" style="13" bestFit="1" customWidth="1"/>
    <col min="2884" max="2884" width="14" style="13" bestFit="1" customWidth="1"/>
    <col min="2885" max="2885" width="13.140625" style="13" customWidth="1"/>
    <col min="2886" max="2886" width="0" style="13" hidden="1" customWidth="1"/>
    <col min="2887" max="2887" width="10.7109375" style="13" customWidth="1"/>
    <col min="2888" max="3072" width="9.140625" style="13"/>
    <col min="3073" max="3073" width="3.28515625" style="13" customWidth="1"/>
    <col min="3074" max="3074" width="34.28515625" style="13" customWidth="1"/>
    <col min="3075" max="3075" width="13" style="13" bestFit="1" customWidth="1"/>
    <col min="3076" max="3089" width="0" style="13" hidden="1" customWidth="1"/>
    <col min="3090" max="3090" width="12.28515625" style="13" customWidth="1"/>
    <col min="3091" max="3091" width="11.85546875" style="13" customWidth="1"/>
    <col min="3092" max="3122" width="0" style="13" hidden="1" customWidth="1"/>
    <col min="3123" max="3123" width="11.85546875" style="13" bestFit="1" customWidth="1"/>
    <col min="3124" max="3129" width="0" style="13" hidden="1" customWidth="1"/>
    <col min="3130" max="3131" width="11.28515625" style="13" customWidth="1"/>
    <col min="3132" max="3132" width="11" style="13" customWidth="1"/>
    <col min="3133" max="3133" width="9.140625" style="13" bestFit="1"/>
    <col min="3134" max="3134" width="0" style="13" hidden="1" customWidth="1"/>
    <col min="3135" max="3136" width="11.28515625" style="13" customWidth="1"/>
    <col min="3137" max="3137" width="0" style="13" hidden="1" customWidth="1"/>
    <col min="3138" max="3138" width="11.28515625" style="13" customWidth="1"/>
    <col min="3139" max="3139" width="11.28515625" style="13" bestFit="1" customWidth="1"/>
    <col min="3140" max="3140" width="14" style="13" bestFit="1" customWidth="1"/>
    <col min="3141" max="3141" width="13.140625" style="13" customWidth="1"/>
    <col min="3142" max="3142" width="0" style="13" hidden="1" customWidth="1"/>
    <col min="3143" max="3143" width="10.7109375" style="13" customWidth="1"/>
    <col min="3144" max="3328" width="9.140625" style="13"/>
    <col min="3329" max="3329" width="3.28515625" style="13" customWidth="1"/>
    <col min="3330" max="3330" width="34.28515625" style="13" customWidth="1"/>
    <col min="3331" max="3331" width="13" style="13" bestFit="1" customWidth="1"/>
    <col min="3332" max="3345" width="0" style="13" hidden="1" customWidth="1"/>
    <col min="3346" max="3346" width="12.28515625" style="13" customWidth="1"/>
    <col min="3347" max="3347" width="11.85546875" style="13" customWidth="1"/>
    <col min="3348" max="3378" width="0" style="13" hidden="1" customWidth="1"/>
    <col min="3379" max="3379" width="11.85546875" style="13" bestFit="1" customWidth="1"/>
    <col min="3380" max="3385" width="0" style="13" hidden="1" customWidth="1"/>
    <col min="3386" max="3387" width="11.28515625" style="13" customWidth="1"/>
    <col min="3388" max="3388" width="11" style="13" customWidth="1"/>
    <col min="3389" max="3389" width="9.140625" style="13" bestFit="1"/>
    <col min="3390" max="3390" width="0" style="13" hidden="1" customWidth="1"/>
    <col min="3391" max="3392" width="11.28515625" style="13" customWidth="1"/>
    <col min="3393" max="3393" width="0" style="13" hidden="1" customWidth="1"/>
    <col min="3394" max="3394" width="11.28515625" style="13" customWidth="1"/>
    <col min="3395" max="3395" width="11.28515625" style="13" bestFit="1" customWidth="1"/>
    <col min="3396" max="3396" width="14" style="13" bestFit="1" customWidth="1"/>
    <col min="3397" max="3397" width="13.140625" style="13" customWidth="1"/>
    <col min="3398" max="3398" width="0" style="13" hidden="1" customWidth="1"/>
    <col min="3399" max="3399" width="10.7109375" style="13" customWidth="1"/>
    <col min="3400" max="3584" width="9.140625" style="13"/>
    <col min="3585" max="3585" width="3.28515625" style="13" customWidth="1"/>
    <col min="3586" max="3586" width="34.28515625" style="13" customWidth="1"/>
    <col min="3587" max="3587" width="13" style="13" bestFit="1" customWidth="1"/>
    <col min="3588" max="3601" width="0" style="13" hidden="1" customWidth="1"/>
    <col min="3602" max="3602" width="12.28515625" style="13" customWidth="1"/>
    <col min="3603" max="3603" width="11.85546875" style="13" customWidth="1"/>
    <col min="3604" max="3634" width="0" style="13" hidden="1" customWidth="1"/>
    <col min="3635" max="3635" width="11.85546875" style="13" bestFit="1" customWidth="1"/>
    <col min="3636" max="3641" width="0" style="13" hidden="1" customWidth="1"/>
    <col min="3642" max="3643" width="11.28515625" style="13" customWidth="1"/>
    <col min="3644" max="3644" width="11" style="13" customWidth="1"/>
    <col min="3645" max="3645" width="9.140625" style="13" bestFit="1"/>
    <col min="3646" max="3646" width="0" style="13" hidden="1" customWidth="1"/>
    <col min="3647" max="3648" width="11.28515625" style="13" customWidth="1"/>
    <col min="3649" max="3649" width="0" style="13" hidden="1" customWidth="1"/>
    <col min="3650" max="3650" width="11.28515625" style="13" customWidth="1"/>
    <col min="3651" max="3651" width="11.28515625" style="13" bestFit="1" customWidth="1"/>
    <col min="3652" max="3652" width="14" style="13" bestFit="1" customWidth="1"/>
    <col min="3653" max="3653" width="13.140625" style="13" customWidth="1"/>
    <col min="3654" max="3654" width="0" style="13" hidden="1" customWidth="1"/>
    <col min="3655" max="3655" width="10.7109375" style="13" customWidth="1"/>
    <col min="3656" max="3840" width="9.140625" style="13"/>
    <col min="3841" max="3841" width="3.28515625" style="13" customWidth="1"/>
    <col min="3842" max="3842" width="34.28515625" style="13" customWidth="1"/>
    <col min="3843" max="3843" width="13" style="13" bestFit="1" customWidth="1"/>
    <col min="3844" max="3857" width="0" style="13" hidden="1" customWidth="1"/>
    <col min="3858" max="3858" width="12.28515625" style="13" customWidth="1"/>
    <col min="3859" max="3859" width="11.85546875" style="13" customWidth="1"/>
    <col min="3860" max="3890" width="0" style="13" hidden="1" customWidth="1"/>
    <col min="3891" max="3891" width="11.85546875" style="13" bestFit="1" customWidth="1"/>
    <col min="3892" max="3897" width="0" style="13" hidden="1" customWidth="1"/>
    <col min="3898" max="3899" width="11.28515625" style="13" customWidth="1"/>
    <col min="3900" max="3900" width="11" style="13" customWidth="1"/>
    <col min="3901" max="3901" width="9.140625" style="13" bestFit="1"/>
    <col min="3902" max="3902" width="0" style="13" hidden="1" customWidth="1"/>
    <col min="3903" max="3904" width="11.28515625" style="13" customWidth="1"/>
    <col min="3905" max="3905" width="0" style="13" hidden="1" customWidth="1"/>
    <col min="3906" max="3906" width="11.28515625" style="13" customWidth="1"/>
    <col min="3907" max="3907" width="11.28515625" style="13" bestFit="1" customWidth="1"/>
    <col min="3908" max="3908" width="14" style="13" bestFit="1" customWidth="1"/>
    <col min="3909" max="3909" width="13.140625" style="13" customWidth="1"/>
    <col min="3910" max="3910" width="0" style="13" hidden="1" customWidth="1"/>
    <col min="3911" max="3911" width="10.7109375" style="13" customWidth="1"/>
    <col min="3912" max="4096" width="9.140625" style="13"/>
    <col min="4097" max="4097" width="3.28515625" style="13" customWidth="1"/>
    <col min="4098" max="4098" width="34.28515625" style="13" customWidth="1"/>
    <col min="4099" max="4099" width="13" style="13" bestFit="1" customWidth="1"/>
    <col min="4100" max="4113" width="0" style="13" hidden="1" customWidth="1"/>
    <col min="4114" max="4114" width="12.28515625" style="13" customWidth="1"/>
    <col min="4115" max="4115" width="11.85546875" style="13" customWidth="1"/>
    <col min="4116" max="4146" width="0" style="13" hidden="1" customWidth="1"/>
    <col min="4147" max="4147" width="11.85546875" style="13" bestFit="1" customWidth="1"/>
    <col min="4148" max="4153" width="0" style="13" hidden="1" customWidth="1"/>
    <col min="4154" max="4155" width="11.28515625" style="13" customWidth="1"/>
    <col min="4156" max="4156" width="11" style="13" customWidth="1"/>
    <col min="4157" max="4157" width="9.140625" style="13" bestFit="1"/>
    <col min="4158" max="4158" width="0" style="13" hidden="1" customWidth="1"/>
    <col min="4159" max="4160" width="11.28515625" style="13" customWidth="1"/>
    <col min="4161" max="4161" width="0" style="13" hidden="1" customWidth="1"/>
    <col min="4162" max="4162" width="11.28515625" style="13" customWidth="1"/>
    <col min="4163" max="4163" width="11.28515625" style="13" bestFit="1" customWidth="1"/>
    <col min="4164" max="4164" width="14" style="13" bestFit="1" customWidth="1"/>
    <col min="4165" max="4165" width="13.140625" style="13" customWidth="1"/>
    <col min="4166" max="4166" width="0" style="13" hidden="1" customWidth="1"/>
    <col min="4167" max="4167" width="10.7109375" style="13" customWidth="1"/>
    <col min="4168" max="4352" width="9.140625" style="13"/>
    <col min="4353" max="4353" width="3.28515625" style="13" customWidth="1"/>
    <col min="4354" max="4354" width="34.28515625" style="13" customWidth="1"/>
    <col min="4355" max="4355" width="13" style="13" bestFit="1" customWidth="1"/>
    <col min="4356" max="4369" width="0" style="13" hidden="1" customWidth="1"/>
    <col min="4370" max="4370" width="12.28515625" style="13" customWidth="1"/>
    <col min="4371" max="4371" width="11.85546875" style="13" customWidth="1"/>
    <col min="4372" max="4402" width="0" style="13" hidden="1" customWidth="1"/>
    <col min="4403" max="4403" width="11.85546875" style="13" bestFit="1" customWidth="1"/>
    <col min="4404" max="4409" width="0" style="13" hidden="1" customWidth="1"/>
    <col min="4410" max="4411" width="11.28515625" style="13" customWidth="1"/>
    <col min="4412" max="4412" width="11" style="13" customWidth="1"/>
    <col min="4413" max="4413" width="9.140625" style="13" bestFit="1"/>
    <col min="4414" max="4414" width="0" style="13" hidden="1" customWidth="1"/>
    <col min="4415" max="4416" width="11.28515625" style="13" customWidth="1"/>
    <col min="4417" max="4417" width="0" style="13" hidden="1" customWidth="1"/>
    <col min="4418" max="4418" width="11.28515625" style="13" customWidth="1"/>
    <col min="4419" max="4419" width="11.28515625" style="13" bestFit="1" customWidth="1"/>
    <col min="4420" max="4420" width="14" style="13" bestFit="1" customWidth="1"/>
    <col min="4421" max="4421" width="13.140625" style="13" customWidth="1"/>
    <col min="4422" max="4422" width="0" style="13" hidden="1" customWidth="1"/>
    <col min="4423" max="4423" width="10.7109375" style="13" customWidth="1"/>
    <col min="4424" max="4608" width="9.140625" style="13"/>
    <col min="4609" max="4609" width="3.28515625" style="13" customWidth="1"/>
    <col min="4610" max="4610" width="34.28515625" style="13" customWidth="1"/>
    <col min="4611" max="4611" width="13" style="13" bestFit="1" customWidth="1"/>
    <col min="4612" max="4625" width="0" style="13" hidden="1" customWidth="1"/>
    <col min="4626" max="4626" width="12.28515625" style="13" customWidth="1"/>
    <col min="4627" max="4627" width="11.85546875" style="13" customWidth="1"/>
    <col min="4628" max="4658" width="0" style="13" hidden="1" customWidth="1"/>
    <col min="4659" max="4659" width="11.85546875" style="13" bestFit="1" customWidth="1"/>
    <col min="4660" max="4665" width="0" style="13" hidden="1" customWidth="1"/>
    <col min="4666" max="4667" width="11.28515625" style="13" customWidth="1"/>
    <col min="4668" max="4668" width="11" style="13" customWidth="1"/>
    <col min="4669" max="4669" width="9.140625" style="13" bestFit="1"/>
    <col min="4670" max="4670" width="0" style="13" hidden="1" customWidth="1"/>
    <col min="4671" max="4672" width="11.28515625" style="13" customWidth="1"/>
    <col min="4673" max="4673" width="0" style="13" hidden="1" customWidth="1"/>
    <col min="4674" max="4674" width="11.28515625" style="13" customWidth="1"/>
    <col min="4675" max="4675" width="11.28515625" style="13" bestFit="1" customWidth="1"/>
    <col min="4676" max="4676" width="14" style="13" bestFit="1" customWidth="1"/>
    <col min="4677" max="4677" width="13.140625" style="13" customWidth="1"/>
    <col min="4678" max="4678" width="0" style="13" hidden="1" customWidth="1"/>
    <col min="4679" max="4679" width="10.7109375" style="13" customWidth="1"/>
    <col min="4680" max="4864" width="9.140625" style="13"/>
    <col min="4865" max="4865" width="3.28515625" style="13" customWidth="1"/>
    <col min="4866" max="4866" width="34.28515625" style="13" customWidth="1"/>
    <col min="4867" max="4867" width="13" style="13" bestFit="1" customWidth="1"/>
    <col min="4868" max="4881" width="0" style="13" hidden="1" customWidth="1"/>
    <col min="4882" max="4882" width="12.28515625" style="13" customWidth="1"/>
    <col min="4883" max="4883" width="11.85546875" style="13" customWidth="1"/>
    <col min="4884" max="4914" width="0" style="13" hidden="1" customWidth="1"/>
    <col min="4915" max="4915" width="11.85546875" style="13" bestFit="1" customWidth="1"/>
    <col min="4916" max="4921" width="0" style="13" hidden="1" customWidth="1"/>
    <col min="4922" max="4923" width="11.28515625" style="13" customWidth="1"/>
    <col min="4924" max="4924" width="11" style="13" customWidth="1"/>
    <col min="4925" max="4925" width="9.140625" style="13" bestFit="1"/>
    <col min="4926" max="4926" width="0" style="13" hidden="1" customWidth="1"/>
    <col min="4927" max="4928" width="11.28515625" style="13" customWidth="1"/>
    <col min="4929" max="4929" width="0" style="13" hidden="1" customWidth="1"/>
    <col min="4930" max="4930" width="11.28515625" style="13" customWidth="1"/>
    <col min="4931" max="4931" width="11.28515625" style="13" bestFit="1" customWidth="1"/>
    <col min="4932" max="4932" width="14" style="13" bestFit="1" customWidth="1"/>
    <col min="4933" max="4933" width="13.140625" style="13" customWidth="1"/>
    <col min="4934" max="4934" width="0" style="13" hidden="1" customWidth="1"/>
    <col min="4935" max="4935" width="10.7109375" style="13" customWidth="1"/>
    <col min="4936" max="5120" width="9.140625" style="13"/>
    <col min="5121" max="5121" width="3.28515625" style="13" customWidth="1"/>
    <col min="5122" max="5122" width="34.28515625" style="13" customWidth="1"/>
    <col min="5123" max="5123" width="13" style="13" bestFit="1" customWidth="1"/>
    <col min="5124" max="5137" width="0" style="13" hidden="1" customWidth="1"/>
    <col min="5138" max="5138" width="12.28515625" style="13" customWidth="1"/>
    <col min="5139" max="5139" width="11.85546875" style="13" customWidth="1"/>
    <col min="5140" max="5170" width="0" style="13" hidden="1" customWidth="1"/>
    <col min="5171" max="5171" width="11.85546875" style="13" bestFit="1" customWidth="1"/>
    <col min="5172" max="5177" width="0" style="13" hidden="1" customWidth="1"/>
    <col min="5178" max="5179" width="11.28515625" style="13" customWidth="1"/>
    <col min="5180" max="5180" width="11" style="13" customWidth="1"/>
    <col min="5181" max="5181" width="9.140625" style="13" bestFit="1"/>
    <col min="5182" max="5182" width="0" style="13" hidden="1" customWidth="1"/>
    <col min="5183" max="5184" width="11.28515625" style="13" customWidth="1"/>
    <col min="5185" max="5185" width="0" style="13" hidden="1" customWidth="1"/>
    <col min="5186" max="5186" width="11.28515625" style="13" customWidth="1"/>
    <col min="5187" max="5187" width="11.28515625" style="13" bestFit="1" customWidth="1"/>
    <col min="5188" max="5188" width="14" style="13" bestFit="1" customWidth="1"/>
    <col min="5189" max="5189" width="13.140625" style="13" customWidth="1"/>
    <col min="5190" max="5190" width="0" style="13" hidden="1" customWidth="1"/>
    <col min="5191" max="5191" width="10.7109375" style="13" customWidth="1"/>
    <col min="5192" max="5376" width="9.140625" style="13"/>
    <col min="5377" max="5377" width="3.28515625" style="13" customWidth="1"/>
    <col min="5378" max="5378" width="34.28515625" style="13" customWidth="1"/>
    <col min="5379" max="5379" width="13" style="13" bestFit="1" customWidth="1"/>
    <col min="5380" max="5393" width="0" style="13" hidden="1" customWidth="1"/>
    <col min="5394" max="5394" width="12.28515625" style="13" customWidth="1"/>
    <col min="5395" max="5395" width="11.85546875" style="13" customWidth="1"/>
    <col min="5396" max="5426" width="0" style="13" hidden="1" customWidth="1"/>
    <col min="5427" max="5427" width="11.85546875" style="13" bestFit="1" customWidth="1"/>
    <col min="5428" max="5433" width="0" style="13" hidden="1" customWidth="1"/>
    <col min="5434" max="5435" width="11.28515625" style="13" customWidth="1"/>
    <col min="5436" max="5436" width="11" style="13" customWidth="1"/>
    <col min="5437" max="5437" width="9.140625" style="13" bestFit="1"/>
    <col min="5438" max="5438" width="0" style="13" hidden="1" customWidth="1"/>
    <col min="5439" max="5440" width="11.28515625" style="13" customWidth="1"/>
    <col min="5441" max="5441" width="0" style="13" hidden="1" customWidth="1"/>
    <col min="5442" max="5442" width="11.28515625" style="13" customWidth="1"/>
    <col min="5443" max="5443" width="11.28515625" style="13" bestFit="1" customWidth="1"/>
    <col min="5444" max="5444" width="14" style="13" bestFit="1" customWidth="1"/>
    <col min="5445" max="5445" width="13.140625" style="13" customWidth="1"/>
    <col min="5446" max="5446" width="0" style="13" hidden="1" customWidth="1"/>
    <col min="5447" max="5447" width="10.7109375" style="13" customWidth="1"/>
    <col min="5448" max="5632" width="9.140625" style="13"/>
    <col min="5633" max="5633" width="3.28515625" style="13" customWidth="1"/>
    <col min="5634" max="5634" width="34.28515625" style="13" customWidth="1"/>
    <col min="5635" max="5635" width="13" style="13" bestFit="1" customWidth="1"/>
    <col min="5636" max="5649" width="0" style="13" hidden="1" customWidth="1"/>
    <col min="5650" max="5650" width="12.28515625" style="13" customWidth="1"/>
    <col min="5651" max="5651" width="11.85546875" style="13" customWidth="1"/>
    <col min="5652" max="5682" width="0" style="13" hidden="1" customWidth="1"/>
    <col min="5683" max="5683" width="11.85546875" style="13" bestFit="1" customWidth="1"/>
    <col min="5684" max="5689" width="0" style="13" hidden="1" customWidth="1"/>
    <col min="5690" max="5691" width="11.28515625" style="13" customWidth="1"/>
    <col min="5692" max="5692" width="11" style="13" customWidth="1"/>
    <col min="5693" max="5693" width="9.140625" style="13" bestFit="1"/>
    <col min="5694" max="5694" width="0" style="13" hidden="1" customWidth="1"/>
    <col min="5695" max="5696" width="11.28515625" style="13" customWidth="1"/>
    <col min="5697" max="5697" width="0" style="13" hidden="1" customWidth="1"/>
    <col min="5698" max="5698" width="11.28515625" style="13" customWidth="1"/>
    <col min="5699" max="5699" width="11.28515625" style="13" bestFit="1" customWidth="1"/>
    <col min="5700" max="5700" width="14" style="13" bestFit="1" customWidth="1"/>
    <col min="5701" max="5701" width="13.140625" style="13" customWidth="1"/>
    <col min="5702" max="5702" width="0" style="13" hidden="1" customWidth="1"/>
    <col min="5703" max="5703" width="10.7109375" style="13" customWidth="1"/>
    <col min="5704" max="5888" width="9.140625" style="13"/>
    <col min="5889" max="5889" width="3.28515625" style="13" customWidth="1"/>
    <col min="5890" max="5890" width="34.28515625" style="13" customWidth="1"/>
    <col min="5891" max="5891" width="13" style="13" bestFit="1" customWidth="1"/>
    <col min="5892" max="5905" width="0" style="13" hidden="1" customWidth="1"/>
    <col min="5906" max="5906" width="12.28515625" style="13" customWidth="1"/>
    <col min="5907" max="5907" width="11.85546875" style="13" customWidth="1"/>
    <col min="5908" max="5938" width="0" style="13" hidden="1" customWidth="1"/>
    <col min="5939" max="5939" width="11.85546875" style="13" bestFit="1" customWidth="1"/>
    <col min="5940" max="5945" width="0" style="13" hidden="1" customWidth="1"/>
    <col min="5946" max="5947" width="11.28515625" style="13" customWidth="1"/>
    <col min="5948" max="5948" width="11" style="13" customWidth="1"/>
    <col min="5949" max="5949" width="9.140625" style="13" bestFit="1"/>
    <col min="5950" max="5950" width="0" style="13" hidden="1" customWidth="1"/>
    <col min="5951" max="5952" width="11.28515625" style="13" customWidth="1"/>
    <col min="5953" max="5953" width="0" style="13" hidden="1" customWidth="1"/>
    <col min="5954" max="5954" width="11.28515625" style="13" customWidth="1"/>
    <col min="5955" max="5955" width="11.28515625" style="13" bestFit="1" customWidth="1"/>
    <col min="5956" max="5956" width="14" style="13" bestFit="1" customWidth="1"/>
    <col min="5957" max="5957" width="13.140625" style="13" customWidth="1"/>
    <col min="5958" max="5958" width="0" style="13" hidden="1" customWidth="1"/>
    <col min="5959" max="5959" width="10.7109375" style="13" customWidth="1"/>
    <col min="5960" max="6144" width="9.140625" style="13"/>
    <col min="6145" max="6145" width="3.28515625" style="13" customWidth="1"/>
    <col min="6146" max="6146" width="34.28515625" style="13" customWidth="1"/>
    <col min="6147" max="6147" width="13" style="13" bestFit="1" customWidth="1"/>
    <col min="6148" max="6161" width="0" style="13" hidden="1" customWidth="1"/>
    <col min="6162" max="6162" width="12.28515625" style="13" customWidth="1"/>
    <col min="6163" max="6163" width="11.85546875" style="13" customWidth="1"/>
    <col min="6164" max="6194" width="0" style="13" hidden="1" customWidth="1"/>
    <col min="6195" max="6195" width="11.85546875" style="13" bestFit="1" customWidth="1"/>
    <col min="6196" max="6201" width="0" style="13" hidden="1" customWidth="1"/>
    <col min="6202" max="6203" width="11.28515625" style="13" customWidth="1"/>
    <col min="6204" max="6204" width="11" style="13" customWidth="1"/>
    <col min="6205" max="6205" width="9.140625" style="13" bestFit="1"/>
    <col min="6206" max="6206" width="0" style="13" hidden="1" customWidth="1"/>
    <col min="6207" max="6208" width="11.28515625" style="13" customWidth="1"/>
    <col min="6209" max="6209" width="0" style="13" hidden="1" customWidth="1"/>
    <col min="6210" max="6210" width="11.28515625" style="13" customWidth="1"/>
    <col min="6211" max="6211" width="11.28515625" style="13" bestFit="1" customWidth="1"/>
    <col min="6212" max="6212" width="14" style="13" bestFit="1" customWidth="1"/>
    <col min="6213" max="6213" width="13.140625" style="13" customWidth="1"/>
    <col min="6214" max="6214" width="0" style="13" hidden="1" customWidth="1"/>
    <col min="6215" max="6215" width="10.7109375" style="13" customWidth="1"/>
    <col min="6216" max="6400" width="9.140625" style="13"/>
    <col min="6401" max="6401" width="3.28515625" style="13" customWidth="1"/>
    <col min="6402" max="6402" width="34.28515625" style="13" customWidth="1"/>
    <col min="6403" max="6403" width="13" style="13" bestFit="1" customWidth="1"/>
    <col min="6404" max="6417" width="0" style="13" hidden="1" customWidth="1"/>
    <col min="6418" max="6418" width="12.28515625" style="13" customWidth="1"/>
    <col min="6419" max="6419" width="11.85546875" style="13" customWidth="1"/>
    <col min="6420" max="6450" width="0" style="13" hidden="1" customWidth="1"/>
    <col min="6451" max="6451" width="11.85546875" style="13" bestFit="1" customWidth="1"/>
    <col min="6452" max="6457" width="0" style="13" hidden="1" customWidth="1"/>
    <col min="6458" max="6459" width="11.28515625" style="13" customWidth="1"/>
    <col min="6460" max="6460" width="11" style="13" customWidth="1"/>
    <col min="6461" max="6461" width="9.140625" style="13" bestFit="1"/>
    <col min="6462" max="6462" width="0" style="13" hidden="1" customWidth="1"/>
    <col min="6463" max="6464" width="11.28515625" style="13" customWidth="1"/>
    <col min="6465" max="6465" width="0" style="13" hidden="1" customWidth="1"/>
    <col min="6466" max="6466" width="11.28515625" style="13" customWidth="1"/>
    <col min="6467" max="6467" width="11.28515625" style="13" bestFit="1" customWidth="1"/>
    <col min="6468" max="6468" width="14" style="13" bestFit="1" customWidth="1"/>
    <col min="6469" max="6469" width="13.140625" style="13" customWidth="1"/>
    <col min="6470" max="6470" width="0" style="13" hidden="1" customWidth="1"/>
    <col min="6471" max="6471" width="10.7109375" style="13" customWidth="1"/>
    <col min="6472" max="6656" width="9.140625" style="13"/>
    <col min="6657" max="6657" width="3.28515625" style="13" customWidth="1"/>
    <col min="6658" max="6658" width="34.28515625" style="13" customWidth="1"/>
    <col min="6659" max="6659" width="13" style="13" bestFit="1" customWidth="1"/>
    <col min="6660" max="6673" width="0" style="13" hidden="1" customWidth="1"/>
    <col min="6674" max="6674" width="12.28515625" style="13" customWidth="1"/>
    <col min="6675" max="6675" width="11.85546875" style="13" customWidth="1"/>
    <col min="6676" max="6706" width="0" style="13" hidden="1" customWidth="1"/>
    <col min="6707" max="6707" width="11.85546875" style="13" bestFit="1" customWidth="1"/>
    <col min="6708" max="6713" width="0" style="13" hidden="1" customWidth="1"/>
    <col min="6714" max="6715" width="11.28515625" style="13" customWidth="1"/>
    <col min="6716" max="6716" width="11" style="13" customWidth="1"/>
    <col min="6717" max="6717" width="9.140625" style="13" bestFit="1"/>
    <col min="6718" max="6718" width="0" style="13" hidden="1" customWidth="1"/>
    <col min="6719" max="6720" width="11.28515625" style="13" customWidth="1"/>
    <col min="6721" max="6721" width="0" style="13" hidden="1" customWidth="1"/>
    <col min="6722" max="6722" width="11.28515625" style="13" customWidth="1"/>
    <col min="6723" max="6723" width="11.28515625" style="13" bestFit="1" customWidth="1"/>
    <col min="6724" max="6724" width="14" style="13" bestFit="1" customWidth="1"/>
    <col min="6725" max="6725" width="13.140625" style="13" customWidth="1"/>
    <col min="6726" max="6726" width="0" style="13" hidden="1" customWidth="1"/>
    <col min="6727" max="6727" width="10.7109375" style="13" customWidth="1"/>
    <col min="6728" max="6912" width="9.140625" style="13"/>
    <col min="6913" max="6913" width="3.28515625" style="13" customWidth="1"/>
    <col min="6914" max="6914" width="34.28515625" style="13" customWidth="1"/>
    <col min="6915" max="6915" width="13" style="13" bestFit="1" customWidth="1"/>
    <col min="6916" max="6929" width="0" style="13" hidden="1" customWidth="1"/>
    <col min="6930" max="6930" width="12.28515625" style="13" customWidth="1"/>
    <col min="6931" max="6931" width="11.85546875" style="13" customWidth="1"/>
    <col min="6932" max="6962" width="0" style="13" hidden="1" customWidth="1"/>
    <col min="6963" max="6963" width="11.85546875" style="13" bestFit="1" customWidth="1"/>
    <col min="6964" max="6969" width="0" style="13" hidden="1" customWidth="1"/>
    <col min="6970" max="6971" width="11.28515625" style="13" customWidth="1"/>
    <col min="6972" max="6972" width="11" style="13" customWidth="1"/>
    <col min="6973" max="6973" width="9.140625" style="13" bestFit="1"/>
    <col min="6974" max="6974" width="0" style="13" hidden="1" customWidth="1"/>
    <col min="6975" max="6976" width="11.28515625" style="13" customWidth="1"/>
    <col min="6977" max="6977" width="0" style="13" hidden="1" customWidth="1"/>
    <col min="6978" max="6978" width="11.28515625" style="13" customWidth="1"/>
    <col min="6979" max="6979" width="11.28515625" style="13" bestFit="1" customWidth="1"/>
    <col min="6980" max="6980" width="14" style="13" bestFit="1" customWidth="1"/>
    <col min="6981" max="6981" width="13.140625" style="13" customWidth="1"/>
    <col min="6982" max="6982" width="0" style="13" hidden="1" customWidth="1"/>
    <col min="6983" max="6983" width="10.7109375" style="13" customWidth="1"/>
    <col min="6984" max="7168" width="9.140625" style="13"/>
    <col min="7169" max="7169" width="3.28515625" style="13" customWidth="1"/>
    <col min="7170" max="7170" width="34.28515625" style="13" customWidth="1"/>
    <col min="7171" max="7171" width="13" style="13" bestFit="1" customWidth="1"/>
    <col min="7172" max="7185" width="0" style="13" hidden="1" customWidth="1"/>
    <col min="7186" max="7186" width="12.28515625" style="13" customWidth="1"/>
    <col min="7187" max="7187" width="11.85546875" style="13" customWidth="1"/>
    <col min="7188" max="7218" width="0" style="13" hidden="1" customWidth="1"/>
    <col min="7219" max="7219" width="11.85546875" style="13" bestFit="1" customWidth="1"/>
    <col min="7220" max="7225" width="0" style="13" hidden="1" customWidth="1"/>
    <col min="7226" max="7227" width="11.28515625" style="13" customWidth="1"/>
    <col min="7228" max="7228" width="11" style="13" customWidth="1"/>
    <col min="7229" max="7229" width="9.140625" style="13" bestFit="1"/>
    <col min="7230" max="7230" width="0" style="13" hidden="1" customWidth="1"/>
    <col min="7231" max="7232" width="11.28515625" style="13" customWidth="1"/>
    <col min="7233" max="7233" width="0" style="13" hidden="1" customWidth="1"/>
    <col min="7234" max="7234" width="11.28515625" style="13" customWidth="1"/>
    <col min="7235" max="7235" width="11.28515625" style="13" bestFit="1" customWidth="1"/>
    <col min="7236" max="7236" width="14" style="13" bestFit="1" customWidth="1"/>
    <col min="7237" max="7237" width="13.140625" style="13" customWidth="1"/>
    <col min="7238" max="7238" width="0" style="13" hidden="1" customWidth="1"/>
    <col min="7239" max="7239" width="10.7109375" style="13" customWidth="1"/>
    <col min="7240" max="7424" width="9.140625" style="13"/>
    <col min="7425" max="7425" width="3.28515625" style="13" customWidth="1"/>
    <col min="7426" max="7426" width="34.28515625" style="13" customWidth="1"/>
    <col min="7427" max="7427" width="13" style="13" bestFit="1" customWidth="1"/>
    <col min="7428" max="7441" width="0" style="13" hidden="1" customWidth="1"/>
    <col min="7442" max="7442" width="12.28515625" style="13" customWidth="1"/>
    <col min="7443" max="7443" width="11.85546875" style="13" customWidth="1"/>
    <col min="7444" max="7474" width="0" style="13" hidden="1" customWidth="1"/>
    <col min="7475" max="7475" width="11.85546875" style="13" bestFit="1" customWidth="1"/>
    <col min="7476" max="7481" width="0" style="13" hidden="1" customWidth="1"/>
    <col min="7482" max="7483" width="11.28515625" style="13" customWidth="1"/>
    <col min="7484" max="7484" width="11" style="13" customWidth="1"/>
    <col min="7485" max="7485" width="9.140625" style="13" bestFit="1"/>
    <col min="7486" max="7486" width="0" style="13" hidden="1" customWidth="1"/>
    <col min="7487" max="7488" width="11.28515625" style="13" customWidth="1"/>
    <col min="7489" max="7489" width="0" style="13" hidden="1" customWidth="1"/>
    <col min="7490" max="7490" width="11.28515625" style="13" customWidth="1"/>
    <col min="7491" max="7491" width="11.28515625" style="13" bestFit="1" customWidth="1"/>
    <col min="7492" max="7492" width="14" style="13" bestFit="1" customWidth="1"/>
    <col min="7493" max="7493" width="13.140625" style="13" customWidth="1"/>
    <col min="7494" max="7494" width="0" style="13" hidden="1" customWidth="1"/>
    <col min="7495" max="7495" width="10.7109375" style="13" customWidth="1"/>
    <col min="7496" max="7680" width="9.140625" style="13"/>
    <col min="7681" max="7681" width="3.28515625" style="13" customWidth="1"/>
    <col min="7682" max="7682" width="34.28515625" style="13" customWidth="1"/>
    <col min="7683" max="7683" width="13" style="13" bestFit="1" customWidth="1"/>
    <col min="7684" max="7697" width="0" style="13" hidden="1" customWidth="1"/>
    <col min="7698" max="7698" width="12.28515625" style="13" customWidth="1"/>
    <col min="7699" max="7699" width="11.85546875" style="13" customWidth="1"/>
    <col min="7700" max="7730" width="0" style="13" hidden="1" customWidth="1"/>
    <col min="7731" max="7731" width="11.85546875" style="13" bestFit="1" customWidth="1"/>
    <col min="7732" max="7737" width="0" style="13" hidden="1" customWidth="1"/>
    <col min="7738" max="7739" width="11.28515625" style="13" customWidth="1"/>
    <col min="7740" max="7740" width="11" style="13" customWidth="1"/>
    <col min="7741" max="7741" width="9.140625" style="13" bestFit="1"/>
    <col min="7742" max="7742" width="0" style="13" hidden="1" customWidth="1"/>
    <col min="7743" max="7744" width="11.28515625" style="13" customWidth="1"/>
    <col min="7745" max="7745" width="0" style="13" hidden="1" customWidth="1"/>
    <col min="7746" max="7746" width="11.28515625" style="13" customWidth="1"/>
    <col min="7747" max="7747" width="11.28515625" style="13" bestFit="1" customWidth="1"/>
    <col min="7748" max="7748" width="14" style="13" bestFit="1" customWidth="1"/>
    <col min="7749" max="7749" width="13.140625" style="13" customWidth="1"/>
    <col min="7750" max="7750" width="0" style="13" hidden="1" customWidth="1"/>
    <col min="7751" max="7751" width="10.7109375" style="13" customWidth="1"/>
    <col min="7752" max="7936" width="9.140625" style="13"/>
    <col min="7937" max="7937" width="3.28515625" style="13" customWidth="1"/>
    <col min="7938" max="7938" width="34.28515625" style="13" customWidth="1"/>
    <col min="7939" max="7939" width="13" style="13" bestFit="1" customWidth="1"/>
    <col min="7940" max="7953" width="0" style="13" hidden="1" customWidth="1"/>
    <col min="7954" max="7954" width="12.28515625" style="13" customWidth="1"/>
    <col min="7955" max="7955" width="11.85546875" style="13" customWidth="1"/>
    <col min="7956" max="7986" width="0" style="13" hidden="1" customWidth="1"/>
    <col min="7987" max="7987" width="11.85546875" style="13" bestFit="1" customWidth="1"/>
    <col min="7988" max="7993" width="0" style="13" hidden="1" customWidth="1"/>
    <col min="7994" max="7995" width="11.28515625" style="13" customWidth="1"/>
    <col min="7996" max="7996" width="11" style="13" customWidth="1"/>
    <col min="7997" max="7997" width="9.140625" style="13" bestFit="1"/>
    <col min="7998" max="7998" width="0" style="13" hidden="1" customWidth="1"/>
    <col min="7999" max="8000" width="11.28515625" style="13" customWidth="1"/>
    <col min="8001" max="8001" width="0" style="13" hidden="1" customWidth="1"/>
    <col min="8002" max="8002" width="11.28515625" style="13" customWidth="1"/>
    <col min="8003" max="8003" width="11.28515625" style="13" bestFit="1" customWidth="1"/>
    <col min="8004" max="8004" width="14" style="13" bestFit="1" customWidth="1"/>
    <col min="8005" max="8005" width="13.140625" style="13" customWidth="1"/>
    <col min="8006" max="8006" width="0" style="13" hidden="1" customWidth="1"/>
    <col min="8007" max="8007" width="10.7109375" style="13" customWidth="1"/>
    <col min="8008" max="8192" width="9.140625" style="13"/>
    <col min="8193" max="8193" width="3.28515625" style="13" customWidth="1"/>
    <col min="8194" max="8194" width="34.28515625" style="13" customWidth="1"/>
    <col min="8195" max="8195" width="13" style="13" bestFit="1" customWidth="1"/>
    <col min="8196" max="8209" width="0" style="13" hidden="1" customWidth="1"/>
    <col min="8210" max="8210" width="12.28515625" style="13" customWidth="1"/>
    <col min="8211" max="8211" width="11.85546875" style="13" customWidth="1"/>
    <col min="8212" max="8242" width="0" style="13" hidden="1" customWidth="1"/>
    <col min="8243" max="8243" width="11.85546875" style="13" bestFit="1" customWidth="1"/>
    <col min="8244" max="8249" width="0" style="13" hidden="1" customWidth="1"/>
    <col min="8250" max="8251" width="11.28515625" style="13" customWidth="1"/>
    <col min="8252" max="8252" width="11" style="13" customWidth="1"/>
    <col min="8253" max="8253" width="9.140625" style="13" bestFit="1"/>
    <col min="8254" max="8254" width="0" style="13" hidden="1" customWidth="1"/>
    <col min="8255" max="8256" width="11.28515625" style="13" customWidth="1"/>
    <col min="8257" max="8257" width="0" style="13" hidden="1" customWidth="1"/>
    <col min="8258" max="8258" width="11.28515625" style="13" customWidth="1"/>
    <col min="8259" max="8259" width="11.28515625" style="13" bestFit="1" customWidth="1"/>
    <col min="8260" max="8260" width="14" style="13" bestFit="1" customWidth="1"/>
    <col min="8261" max="8261" width="13.140625" style="13" customWidth="1"/>
    <col min="8262" max="8262" width="0" style="13" hidden="1" customWidth="1"/>
    <col min="8263" max="8263" width="10.7109375" style="13" customWidth="1"/>
    <col min="8264" max="8448" width="9.140625" style="13"/>
    <col min="8449" max="8449" width="3.28515625" style="13" customWidth="1"/>
    <col min="8450" max="8450" width="34.28515625" style="13" customWidth="1"/>
    <col min="8451" max="8451" width="13" style="13" bestFit="1" customWidth="1"/>
    <col min="8452" max="8465" width="0" style="13" hidden="1" customWidth="1"/>
    <col min="8466" max="8466" width="12.28515625" style="13" customWidth="1"/>
    <col min="8467" max="8467" width="11.85546875" style="13" customWidth="1"/>
    <col min="8468" max="8498" width="0" style="13" hidden="1" customWidth="1"/>
    <col min="8499" max="8499" width="11.85546875" style="13" bestFit="1" customWidth="1"/>
    <col min="8500" max="8505" width="0" style="13" hidden="1" customWidth="1"/>
    <col min="8506" max="8507" width="11.28515625" style="13" customWidth="1"/>
    <col min="8508" max="8508" width="11" style="13" customWidth="1"/>
    <col min="8509" max="8509" width="9.140625" style="13" bestFit="1"/>
    <col min="8510" max="8510" width="0" style="13" hidden="1" customWidth="1"/>
    <col min="8511" max="8512" width="11.28515625" style="13" customWidth="1"/>
    <col min="8513" max="8513" width="0" style="13" hidden="1" customWidth="1"/>
    <col min="8514" max="8514" width="11.28515625" style="13" customWidth="1"/>
    <col min="8515" max="8515" width="11.28515625" style="13" bestFit="1" customWidth="1"/>
    <col min="8516" max="8516" width="14" style="13" bestFit="1" customWidth="1"/>
    <col min="8517" max="8517" width="13.140625" style="13" customWidth="1"/>
    <col min="8518" max="8518" width="0" style="13" hidden="1" customWidth="1"/>
    <col min="8519" max="8519" width="10.7109375" style="13" customWidth="1"/>
    <col min="8520" max="8704" width="9.140625" style="13"/>
    <col min="8705" max="8705" width="3.28515625" style="13" customWidth="1"/>
    <col min="8706" max="8706" width="34.28515625" style="13" customWidth="1"/>
    <col min="8707" max="8707" width="13" style="13" bestFit="1" customWidth="1"/>
    <col min="8708" max="8721" width="0" style="13" hidden="1" customWidth="1"/>
    <col min="8722" max="8722" width="12.28515625" style="13" customWidth="1"/>
    <col min="8723" max="8723" width="11.85546875" style="13" customWidth="1"/>
    <col min="8724" max="8754" width="0" style="13" hidden="1" customWidth="1"/>
    <col min="8755" max="8755" width="11.85546875" style="13" bestFit="1" customWidth="1"/>
    <col min="8756" max="8761" width="0" style="13" hidden="1" customWidth="1"/>
    <col min="8762" max="8763" width="11.28515625" style="13" customWidth="1"/>
    <col min="8764" max="8764" width="11" style="13" customWidth="1"/>
    <col min="8765" max="8765" width="9.140625" style="13" bestFit="1"/>
    <col min="8766" max="8766" width="0" style="13" hidden="1" customWidth="1"/>
    <col min="8767" max="8768" width="11.28515625" style="13" customWidth="1"/>
    <col min="8769" max="8769" width="0" style="13" hidden="1" customWidth="1"/>
    <col min="8770" max="8770" width="11.28515625" style="13" customWidth="1"/>
    <col min="8771" max="8771" width="11.28515625" style="13" bestFit="1" customWidth="1"/>
    <col min="8772" max="8772" width="14" style="13" bestFit="1" customWidth="1"/>
    <col min="8773" max="8773" width="13.140625" style="13" customWidth="1"/>
    <col min="8774" max="8774" width="0" style="13" hidden="1" customWidth="1"/>
    <col min="8775" max="8775" width="10.7109375" style="13" customWidth="1"/>
    <col min="8776" max="8960" width="9.140625" style="13"/>
    <col min="8961" max="8961" width="3.28515625" style="13" customWidth="1"/>
    <col min="8962" max="8962" width="34.28515625" style="13" customWidth="1"/>
    <col min="8963" max="8963" width="13" style="13" bestFit="1" customWidth="1"/>
    <col min="8964" max="8977" width="0" style="13" hidden="1" customWidth="1"/>
    <col min="8978" max="8978" width="12.28515625" style="13" customWidth="1"/>
    <col min="8979" max="8979" width="11.85546875" style="13" customWidth="1"/>
    <col min="8980" max="9010" width="0" style="13" hidden="1" customWidth="1"/>
    <col min="9011" max="9011" width="11.85546875" style="13" bestFit="1" customWidth="1"/>
    <col min="9012" max="9017" width="0" style="13" hidden="1" customWidth="1"/>
    <col min="9018" max="9019" width="11.28515625" style="13" customWidth="1"/>
    <col min="9020" max="9020" width="11" style="13" customWidth="1"/>
    <col min="9021" max="9021" width="9.140625" style="13" bestFit="1"/>
    <col min="9022" max="9022" width="0" style="13" hidden="1" customWidth="1"/>
    <col min="9023" max="9024" width="11.28515625" style="13" customWidth="1"/>
    <col min="9025" max="9025" width="0" style="13" hidden="1" customWidth="1"/>
    <col min="9026" max="9026" width="11.28515625" style="13" customWidth="1"/>
    <col min="9027" max="9027" width="11.28515625" style="13" bestFit="1" customWidth="1"/>
    <col min="9028" max="9028" width="14" style="13" bestFit="1" customWidth="1"/>
    <col min="9029" max="9029" width="13.140625" style="13" customWidth="1"/>
    <col min="9030" max="9030" width="0" style="13" hidden="1" customWidth="1"/>
    <col min="9031" max="9031" width="10.7109375" style="13" customWidth="1"/>
    <col min="9032" max="9216" width="9.140625" style="13"/>
    <col min="9217" max="9217" width="3.28515625" style="13" customWidth="1"/>
    <col min="9218" max="9218" width="34.28515625" style="13" customWidth="1"/>
    <col min="9219" max="9219" width="13" style="13" bestFit="1" customWidth="1"/>
    <col min="9220" max="9233" width="0" style="13" hidden="1" customWidth="1"/>
    <col min="9234" max="9234" width="12.28515625" style="13" customWidth="1"/>
    <col min="9235" max="9235" width="11.85546875" style="13" customWidth="1"/>
    <col min="9236" max="9266" width="0" style="13" hidden="1" customWidth="1"/>
    <col min="9267" max="9267" width="11.85546875" style="13" bestFit="1" customWidth="1"/>
    <col min="9268" max="9273" width="0" style="13" hidden="1" customWidth="1"/>
    <col min="9274" max="9275" width="11.28515625" style="13" customWidth="1"/>
    <col min="9276" max="9276" width="11" style="13" customWidth="1"/>
    <col min="9277" max="9277" width="9.140625" style="13" bestFit="1"/>
    <col min="9278" max="9278" width="0" style="13" hidden="1" customWidth="1"/>
    <col min="9279" max="9280" width="11.28515625" style="13" customWidth="1"/>
    <col min="9281" max="9281" width="0" style="13" hidden="1" customWidth="1"/>
    <col min="9282" max="9282" width="11.28515625" style="13" customWidth="1"/>
    <col min="9283" max="9283" width="11.28515625" style="13" bestFit="1" customWidth="1"/>
    <col min="9284" max="9284" width="14" style="13" bestFit="1" customWidth="1"/>
    <col min="9285" max="9285" width="13.140625" style="13" customWidth="1"/>
    <col min="9286" max="9286" width="0" style="13" hidden="1" customWidth="1"/>
    <col min="9287" max="9287" width="10.7109375" style="13" customWidth="1"/>
    <col min="9288" max="9472" width="9.140625" style="13"/>
    <col min="9473" max="9473" width="3.28515625" style="13" customWidth="1"/>
    <col min="9474" max="9474" width="34.28515625" style="13" customWidth="1"/>
    <col min="9475" max="9475" width="13" style="13" bestFit="1" customWidth="1"/>
    <col min="9476" max="9489" width="0" style="13" hidden="1" customWidth="1"/>
    <col min="9490" max="9490" width="12.28515625" style="13" customWidth="1"/>
    <col min="9491" max="9491" width="11.85546875" style="13" customWidth="1"/>
    <col min="9492" max="9522" width="0" style="13" hidden="1" customWidth="1"/>
    <col min="9523" max="9523" width="11.85546875" style="13" bestFit="1" customWidth="1"/>
    <col min="9524" max="9529" width="0" style="13" hidden="1" customWidth="1"/>
    <col min="9530" max="9531" width="11.28515625" style="13" customWidth="1"/>
    <col min="9532" max="9532" width="11" style="13" customWidth="1"/>
    <col min="9533" max="9533" width="9.140625" style="13" bestFit="1"/>
    <col min="9534" max="9534" width="0" style="13" hidden="1" customWidth="1"/>
    <col min="9535" max="9536" width="11.28515625" style="13" customWidth="1"/>
    <col min="9537" max="9537" width="0" style="13" hidden="1" customWidth="1"/>
    <col min="9538" max="9538" width="11.28515625" style="13" customWidth="1"/>
    <col min="9539" max="9539" width="11.28515625" style="13" bestFit="1" customWidth="1"/>
    <col min="9540" max="9540" width="14" style="13" bestFit="1" customWidth="1"/>
    <col min="9541" max="9541" width="13.140625" style="13" customWidth="1"/>
    <col min="9542" max="9542" width="0" style="13" hidden="1" customWidth="1"/>
    <col min="9543" max="9543" width="10.7109375" style="13" customWidth="1"/>
    <col min="9544" max="9728" width="9.140625" style="13"/>
    <col min="9729" max="9729" width="3.28515625" style="13" customWidth="1"/>
    <col min="9730" max="9730" width="34.28515625" style="13" customWidth="1"/>
    <col min="9731" max="9731" width="13" style="13" bestFit="1" customWidth="1"/>
    <col min="9732" max="9745" width="0" style="13" hidden="1" customWidth="1"/>
    <col min="9746" max="9746" width="12.28515625" style="13" customWidth="1"/>
    <col min="9747" max="9747" width="11.85546875" style="13" customWidth="1"/>
    <col min="9748" max="9778" width="0" style="13" hidden="1" customWidth="1"/>
    <col min="9779" max="9779" width="11.85546875" style="13" bestFit="1" customWidth="1"/>
    <col min="9780" max="9785" width="0" style="13" hidden="1" customWidth="1"/>
    <col min="9786" max="9787" width="11.28515625" style="13" customWidth="1"/>
    <col min="9788" max="9788" width="11" style="13" customWidth="1"/>
    <col min="9789" max="9789" width="9.140625" style="13" bestFit="1"/>
    <col min="9790" max="9790" width="0" style="13" hidden="1" customWidth="1"/>
    <col min="9791" max="9792" width="11.28515625" style="13" customWidth="1"/>
    <col min="9793" max="9793" width="0" style="13" hidden="1" customWidth="1"/>
    <col min="9794" max="9794" width="11.28515625" style="13" customWidth="1"/>
    <col min="9795" max="9795" width="11.28515625" style="13" bestFit="1" customWidth="1"/>
    <col min="9796" max="9796" width="14" style="13" bestFit="1" customWidth="1"/>
    <col min="9797" max="9797" width="13.140625" style="13" customWidth="1"/>
    <col min="9798" max="9798" width="0" style="13" hidden="1" customWidth="1"/>
    <col min="9799" max="9799" width="10.7109375" style="13" customWidth="1"/>
    <col min="9800" max="9984" width="9.140625" style="13"/>
    <col min="9985" max="9985" width="3.28515625" style="13" customWidth="1"/>
    <col min="9986" max="9986" width="34.28515625" style="13" customWidth="1"/>
    <col min="9987" max="9987" width="13" style="13" bestFit="1" customWidth="1"/>
    <col min="9988" max="10001" width="0" style="13" hidden="1" customWidth="1"/>
    <col min="10002" max="10002" width="12.28515625" style="13" customWidth="1"/>
    <col min="10003" max="10003" width="11.85546875" style="13" customWidth="1"/>
    <col min="10004" max="10034" width="0" style="13" hidden="1" customWidth="1"/>
    <col min="10035" max="10035" width="11.85546875" style="13" bestFit="1" customWidth="1"/>
    <col min="10036" max="10041" width="0" style="13" hidden="1" customWidth="1"/>
    <col min="10042" max="10043" width="11.28515625" style="13" customWidth="1"/>
    <col min="10044" max="10044" width="11" style="13" customWidth="1"/>
    <col min="10045" max="10045" width="9.140625" style="13" bestFit="1"/>
    <col min="10046" max="10046" width="0" style="13" hidden="1" customWidth="1"/>
    <col min="10047" max="10048" width="11.28515625" style="13" customWidth="1"/>
    <col min="10049" max="10049" width="0" style="13" hidden="1" customWidth="1"/>
    <col min="10050" max="10050" width="11.28515625" style="13" customWidth="1"/>
    <col min="10051" max="10051" width="11.28515625" style="13" bestFit="1" customWidth="1"/>
    <col min="10052" max="10052" width="14" style="13" bestFit="1" customWidth="1"/>
    <col min="10053" max="10053" width="13.140625" style="13" customWidth="1"/>
    <col min="10054" max="10054" width="0" style="13" hidden="1" customWidth="1"/>
    <col min="10055" max="10055" width="10.7109375" style="13" customWidth="1"/>
    <col min="10056" max="10240" width="9.140625" style="13"/>
    <col min="10241" max="10241" width="3.28515625" style="13" customWidth="1"/>
    <col min="10242" max="10242" width="34.28515625" style="13" customWidth="1"/>
    <col min="10243" max="10243" width="13" style="13" bestFit="1" customWidth="1"/>
    <col min="10244" max="10257" width="0" style="13" hidden="1" customWidth="1"/>
    <col min="10258" max="10258" width="12.28515625" style="13" customWidth="1"/>
    <col min="10259" max="10259" width="11.85546875" style="13" customWidth="1"/>
    <col min="10260" max="10290" width="0" style="13" hidden="1" customWidth="1"/>
    <col min="10291" max="10291" width="11.85546875" style="13" bestFit="1" customWidth="1"/>
    <col min="10292" max="10297" width="0" style="13" hidden="1" customWidth="1"/>
    <col min="10298" max="10299" width="11.28515625" style="13" customWidth="1"/>
    <col min="10300" max="10300" width="11" style="13" customWidth="1"/>
    <col min="10301" max="10301" width="9.140625" style="13" bestFit="1"/>
    <col min="10302" max="10302" width="0" style="13" hidden="1" customWidth="1"/>
    <col min="10303" max="10304" width="11.28515625" style="13" customWidth="1"/>
    <col min="10305" max="10305" width="0" style="13" hidden="1" customWidth="1"/>
    <col min="10306" max="10306" width="11.28515625" style="13" customWidth="1"/>
    <col min="10307" max="10307" width="11.28515625" style="13" bestFit="1" customWidth="1"/>
    <col min="10308" max="10308" width="14" style="13" bestFit="1" customWidth="1"/>
    <col min="10309" max="10309" width="13.140625" style="13" customWidth="1"/>
    <col min="10310" max="10310" width="0" style="13" hidden="1" customWidth="1"/>
    <col min="10311" max="10311" width="10.7109375" style="13" customWidth="1"/>
    <col min="10312" max="10496" width="9.140625" style="13"/>
    <col min="10497" max="10497" width="3.28515625" style="13" customWidth="1"/>
    <col min="10498" max="10498" width="34.28515625" style="13" customWidth="1"/>
    <col min="10499" max="10499" width="13" style="13" bestFit="1" customWidth="1"/>
    <col min="10500" max="10513" width="0" style="13" hidden="1" customWidth="1"/>
    <col min="10514" max="10514" width="12.28515625" style="13" customWidth="1"/>
    <col min="10515" max="10515" width="11.85546875" style="13" customWidth="1"/>
    <col min="10516" max="10546" width="0" style="13" hidden="1" customWidth="1"/>
    <col min="10547" max="10547" width="11.85546875" style="13" bestFit="1" customWidth="1"/>
    <col min="10548" max="10553" width="0" style="13" hidden="1" customWidth="1"/>
    <col min="10554" max="10555" width="11.28515625" style="13" customWidth="1"/>
    <col min="10556" max="10556" width="11" style="13" customWidth="1"/>
    <col min="10557" max="10557" width="9.140625" style="13" bestFit="1"/>
    <col min="10558" max="10558" width="0" style="13" hidden="1" customWidth="1"/>
    <col min="10559" max="10560" width="11.28515625" style="13" customWidth="1"/>
    <col min="10561" max="10561" width="0" style="13" hidden="1" customWidth="1"/>
    <col min="10562" max="10562" width="11.28515625" style="13" customWidth="1"/>
    <col min="10563" max="10563" width="11.28515625" style="13" bestFit="1" customWidth="1"/>
    <col min="10564" max="10564" width="14" style="13" bestFit="1" customWidth="1"/>
    <col min="10565" max="10565" width="13.140625" style="13" customWidth="1"/>
    <col min="10566" max="10566" width="0" style="13" hidden="1" customWidth="1"/>
    <col min="10567" max="10567" width="10.7109375" style="13" customWidth="1"/>
    <col min="10568" max="10752" width="9.140625" style="13"/>
    <col min="10753" max="10753" width="3.28515625" style="13" customWidth="1"/>
    <col min="10754" max="10754" width="34.28515625" style="13" customWidth="1"/>
    <col min="10755" max="10755" width="13" style="13" bestFit="1" customWidth="1"/>
    <col min="10756" max="10769" width="0" style="13" hidden="1" customWidth="1"/>
    <col min="10770" max="10770" width="12.28515625" style="13" customWidth="1"/>
    <col min="10771" max="10771" width="11.85546875" style="13" customWidth="1"/>
    <col min="10772" max="10802" width="0" style="13" hidden="1" customWidth="1"/>
    <col min="10803" max="10803" width="11.85546875" style="13" bestFit="1" customWidth="1"/>
    <col min="10804" max="10809" width="0" style="13" hidden="1" customWidth="1"/>
    <col min="10810" max="10811" width="11.28515625" style="13" customWidth="1"/>
    <col min="10812" max="10812" width="11" style="13" customWidth="1"/>
    <col min="10813" max="10813" width="9.140625" style="13" bestFit="1"/>
    <col min="10814" max="10814" width="0" style="13" hidden="1" customWidth="1"/>
    <col min="10815" max="10816" width="11.28515625" style="13" customWidth="1"/>
    <col min="10817" max="10817" width="0" style="13" hidden="1" customWidth="1"/>
    <col min="10818" max="10818" width="11.28515625" style="13" customWidth="1"/>
    <col min="10819" max="10819" width="11.28515625" style="13" bestFit="1" customWidth="1"/>
    <col min="10820" max="10820" width="14" style="13" bestFit="1" customWidth="1"/>
    <col min="10821" max="10821" width="13.140625" style="13" customWidth="1"/>
    <col min="10822" max="10822" width="0" style="13" hidden="1" customWidth="1"/>
    <col min="10823" max="10823" width="10.7109375" style="13" customWidth="1"/>
    <col min="10824" max="11008" width="9.140625" style="13"/>
    <col min="11009" max="11009" width="3.28515625" style="13" customWidth="1"/>
    <col min="11010" max="11010" width="34.28515625" style="13" customWidth="1"/>
    <col min="11011" max="11011" width="13" style="13" bestFit="1" customWidth="1"/>
    <col min="11012" max="11025" width="0" style="13" hidden="1" customWidth="1"/>
    <col min="11026" max="11026" width="12.28515625" style="13" customWidth="1"/>
    <col min="11027" max="11027" width="11.85546875" style="13" customWidth="1"/>
    <col min="11028" max="11058" width="0" style="13" hidden="1" customWidth="1"/>
    <col min="11059" max="11059" width="11.85546875" style="13" bestFit="1" customWidth="1"/>
    <col min="11060" max="11065" width="0" style="13" hidden="1" customWidth="1"/>
    <col min="11066" max="11067" width="11.28515625" style="13" customWidth="1"/>
    <col min="11068" max="11068" width="11" style="13" customWidth="1"/>
    <col min="11069" max="11069" width="9.140625" style="13" bestFit="1"/>
    <col min="11070" max="11070" width="0" style="13" hidden="1" customWidth="1"/>
    <col min="11071" max="11072" width="11.28515625" style="13" customWidth="1"/>
    <col min="11073" max="11073" width="0" style="13" hidden="1" customWidth="1"/>
    <col min="11074" max="11074" width="11.28515625" style="13" customWidth="1"/>
    <col min="11075" max="11075" width="11.28515625" style="13" bestFit="1" customWidth="1"/>
    <col min="11076" max="11076" width="14" style="13" bestFit="1" customWidth="1"/>
    <col min="11077" max="11077" width="13.140625" style="13" customWidth="1"/>
    <col min="11078" max="11078" width="0" style="13" hidden="1" customWidth="1"/>
    <col min="11079" max="11079" width="10.7109375" style="13" customWidth="1"/>
    <col min="11080" max="11264" width="9.140625" style="13"/>
    <col min="11265" max="11265" width="3.28515625" style="13" customWidth="1"/>
    <col min="11266" max="11266" width="34.28515625" style="13" customWidth="1"/>
    <col min="11267" max="11267" width="13" style="13" bestFit="1" customWidth="1"/>
    <col min="11268" max="11281" width="0" style="13" hidden="1" customWidth="1"/>
    <col min="11282" max="11282" width="12.28515625" style="13" customWidth="1"/>
    <col min="11283" max="11283" width="11.85546875" style="13" customWidth="1"/>
    <col min="11284" max="11314" width="0" style="13" hidden="1" customWidth="1"/>
    <col min="11315" max="11315" width="11.85546875" style="13" bestFit="1" customWidth="1"/>
    <col min="11316" max="11321" width="0" style="13" hidden="1" customWidth="1"/>
    <col min="11322" max="11323" width="11.28515625" style="13" customWidth="1"/>
    <col min="11324" max="11324" width="11" style="13" customWidth="1"/>
    <col min="11325" max="11325" width="9.140625" style="13" bestFit="1"/>
    <col min="11326" max="11326" width="0" style="13" hidden="1" customWidth="1"/>
    <col min="11327" max="11328" width="11.28515625" style="13" customWidth="1"/>
    <col min="11329" max="11329" width="0" style="13" hidden="1" customWidth="1"/>
    <col min="11330" max="11330" width="11.28515625" style="13" customWidth="1"/>
    <col min="11331" max="11331" width="11.28515625" style="13" bestFit="1" customWidth="1"/>
    <col min="11332" max="11332" width="14" style="13" bestFit="1" customWidth="1"/>
    <col min="11333" max="11333" width="13.140625" style="13" customWidth="1"/>
    <col min="11334" max="11334" width="0" style="13" hidden="1" customWidth="1"/>
    <col min="11335" max="11335" width="10.7109375" style="13" customWidth="1"/>
    <col min="11336" max="11520" width="9.140625" style="13"/>
    <col min="11521" max="11521" width="3.28515625" style="13" customWidth="1"/>
    <col min="11522" max="11522" width="34.28515625" style="13" customWidth="1"/>
    <col min="11523" max="11523" width="13" style="13" bestFit="1" customWidth="1"/>
    <col min="11524" max="11537" width="0" style="13" hidden="1" customWidth="1"/>
    <col min="11538" max="11538" width="12.28515625" style="13" customWidth="1"/>
    <col min="11539" max="11539" width="11.85546875" style="13" customWidth="1"/>
    <col min="11540" max="11570" width="0" style="13" hidden="1" customWidth="1"/>
    <col min="11571" max="11571" width="11.85546875" style="13" bestFit="1" customWidth="1"/>
    <col min="11572" max="11577" width="0" style="13" hidden="1" customWidth="1"/>
    <col min="11578" max="11579" width="11.28515625" style="13" customWidth="1"/>
    <col min="11580" max="11580" width="11" style="13" customWidth="1"/>
    <col min="11581" max="11581" width="9.140625" style="13" bestFit="1"/>
    <col min="11582" max="11582" width="0" style="13" hidden="1" customWidth="1"/>
    <col min="11583" max="11584" width="11.28515625" style="13" customWidth="1"/>
    <col min="11585" max="11585" width="0" style="13" hidden="1" customWidth="1"/>
    <col min="11586" max="11586" width="11.28515625" style="13" customWidth="1"/>
    <col min="11587" max="11587" width="11.28515625" style="13" bestFit="1" customWidth="1"/>
    <col min="11588" max="11588" width="14" style="13" bestFit="1" customWidth="1"/>
    <col min="11589" max="11589" width="13.140625" style="13" customWidth="1"/>
    <col min="11590" max="11590" width="0" style="13" hidden="1" customWidth="1"/>
    <col min="11591" max="11591" width="10.7109375" style="13" customWidth="1"/>
    <col min="11592" max="11776" width="9.140625" style="13"/>
    <col min="11777" max="11777" width="3.28515625" style="13" customWidth="1"/>
    <col min="11778" max="11778" width="34.28515625" style="13" customWidth="1"/>
    <col min="11779" max="11779" width="13" style="13" bestFit="1" customWidth="1"/>
    <col min="11780" max="11793" width="0" style="13" hidden="1" customWidth="1"/>
    <col min="11794" max="11794" width="12.28515625" style="13" customWidth="1"/>
    <col min="11795" max="11795" width="11.85546875" style="13" customWidth="1"/>
    <col min="11796" max="11826" width="0" style="13" hidden="1" customWidth="1"/>
    <col min="11827" max="11827" width="11.85546875" style="13" bestFit="1" customWidth="1"/>
    <col min="11828" max="11833" width="0" style="13" hidden="1" customWidth="1"/>
    <col min="11834" max="11835" width="11.28515625" style="13" customWidth="1"/>
    <col min="11836" max="11836" width="11" style="13" customWidth="1"/>
    <col min="11837" max="11837" width="9.140625" style="13" bestFit="1"/>
    <col min="11838" max="11838" width="0" style="13" hidden="1" customWidth="1"/>
    <col min="11839" max="11840" width="11.28515625" style="13" customWidth="1"/>
    <col min="11841" max="11841" width="0" style="13" hidden="1" customWidth="1"/>
    <col min="11842" max="11842" width="11.28515625" style="13" customWidth="1"/>
    <col min="11843" max="11843" width="11.28515625" style="13" bestFit="1" customWidth="1"/>
    <col min="11844" max="11844" width="14" style="13" bestFit="1" customWidth="1"/>
    <col min="11845" max="11845" width="13.140625" style="13" customWidth="1"/>
    <col min="11846" max="11846" width="0" style="13" hidden="1" customWidth="1"/>
    <col min="11847" max="11847" width="10.7109375" style="13" customWidth="1"/>
    <col min="11848" max="12032" width="9.140625" style="13"/>
    <col min="12033" max="12033" width="3.28515625" style="13" customWidth="1"/>
    <col min="12034" max="12034" width="34.28515625" style="13" customWidth="1"/>
    <col min="12035" max="12035" width="13" style="13" bestFit="1" customWidth="1"/>
    <col min="12036" max="12049" width="0" style="13" hidden="1" customWidth="1"/>
    <col min="12050" max="12050" width="12.28515625" style="13" customWidth="1"/>
    <col min="12051" max="12051" width="11.85546875" style="13" customWidth="1"/>
    <col min="12052" max="12082" width="0" style="13" hidden="1" customWidth="1"/>
    <col min="12083" max="12083" width="11.85546875" style="13" bestFit="1" customWidth="1"/>
    <col min="12084" max="12089" width="0" style="13" hidden="1" customWidth="1"/>
    <col min="12090" max="12091" width="11.28515625" style="13" customWidth="1"/>
    <col min="12092" max="12092" width="11" style="13" customWidth="1"/>
    <col min="12093" max="12093" width="9.140625" style="13" bestFit="1"/>
    <col min="12094" max="12094" width="0" style="13" hidden="1" customWidth="1"/>
    <col min="12095" max="12096" width="11.28515625" style="13" customWidth="1"/>
    <col min="12097" max="12097" width="0" style="13" hidden="1" customWidth="1"/>
    <col min="12098" max="12098" width="11.28515625" style="13" customWidth="1"/>
    <col min="12099" max="12099" width="11.28515625" style="13" bestFit="1" customWidth="1"/>
    <col min="12100" max="12100" width="14" style="13" bestFit="1" customWidth="1"/>
    <col min="12101" max="12101" width="13.140625" style="13" customWidth="1"/>
    <col min="12102" max="12102" width="0" style="13" hidden="1" customWidth="1"/>
    <col min="12103" max="12103" width="10.7109375" style="13" customWidth="1"/>
    <col min="12104" max="12288" width="9.140625" style="13"/>
    <col min="12289" max="12289" width="3.28515625" style="13" customWidth="1"/>
    <col min="12290" max="12290" width="34.28515625" style="13" customWidth="1"/>
    <col min="12291" max="12291" width="13" style="13" bestFit="1" customWidth="1"/>
    <col min="12292" max="12305" width="0" style="13" hidden="1" customWidth="1"/>
    <col min="12306" max="12306" width="12.28515625" style="13" customWidth="1"/>
    <col min="12307" max="12307" width="11.85546875" style="13" customWidth="1"/>
    <col min="12308" max="12338" width="0" style="13" hidden="1" customWidth="1"/>
    <col min="12339" max="12339" width="11.85546875" style="13" bestFit="1" customWidth="1"/>
    <col min="12340" max="12345" width="0" style="13" hidden="1" customWidth="1"/>
    <col min="12346" max="12347" width="11.28515625" style="13" customWidth="1"/>
    <col min="12348" max="12348" width="11" style="13" customWidth="1"/>
    <col min="12349" max="12349" width="9.140625" style="13" bestFit="1"/>
    <col min="12350" max="12350" width="0" style="13" hidden="1" customWidth="1"/>
    <col min="12351" max="12352" width="11.28515625" style="13" customWidth="1"/>
    <col min="12353" max="12353" width="0" style="13" hidden="1" customWidth="1"/>
    <col min="12354" max="12354" width="11.28515625" style="13" customWidth="1"/>
    <col min="12355" max="12355" width="11.28515625" style="13" bestFit="1" customWidth="1"/>
    <col min="12356" max="12356" width="14" style="13" bestFit="1" customWidth="1"/>
    <col min="12357" max="12357" width="13.140625" style="13" customWidth="1"/>
    <col min="12358" max="12358" width="0" style="13" hidden="1" customWidth="1"/>
    <col min="12359" max="12359" width="10.7109375" style="13" customWidth="1"/>
    <col min="12360" max="12544" width="9.140625" style="13"/>
    <col min="12545" max="12545" width="3.28515625" style="13" customWidth="1"/>
    <col min="12546" max="12546" width="34.28515625" style="13" customWidth="1"/>
    <col min="12547" max="12547" width="13" style="13" bestFit="1" customWidth="1"/>
    <col min="12548" max="12561" width="0" style="13" hidden="1" customWidth="1"/>
    <col min="12562" max="12562" width="12.28515625" style="13" customWidth="1"/>
    <col min="12563" max="12563" width="11.85546875" style="13" customWidth="1"/>
    <col min="12564" max="12594" width="0" style="13" hidden="1" customWidth="1"/>
    <col min="12595" max="12595" width="11.85546875" style="13" bestFit="1" customWidth="1"/>
    <col min="12596" max="12601" width="0" style="13" hidden="1" customWidth="1"/>
    <col min="12602" max="12603" width="11.28515625" style="13" customWidth="1"/>
    <col min="12604" max="12604" width="11" style="13" customWidth="1"/>
    <col min="12605" max="12605" width="9.140625" style="13" bestFit="1"/>
    <col min="12606" max="12606" width="0" style="13" hidden="1" customWidth="1"/>
    <col min="12607" max="12608" width="11.28515625" style="13" customWidth="1"/>
    <col min="12609" max="12609" width="0" style="13" hidden="1" customWidth="1"/>
    <col min="12610" max="12610" width="11.28515625" style="13" customWidth="1"/>
    <col min="12611" max="12611" width="11.28515625" style="13" bestFit="1" customWidth="1"/>
    <col min="12612" max="12612" width="14" style="13" bestFit="1" customWidth="1"/>
    <col min="12613" max="12613" width="13.140625" style="13" customWidth="1"/>
    <col min="12614" max="12614" width="0" style="13" hidden="1" customWidth="1"/>
    <col min="12615" max="12615" width="10.7109375" style="13" customWidth="1"/>
    <col min="12616" max="12800" width="9.140625" style="13"/>
    <col min="12801" max="12801" width="3.28515625" style="13" customWidth="1"/>
    <col min="12802" max="12802" width="34.28515625" style="13" customWidth="1"/>
    <col min="12803" max="12803" width="13" style="13" bestFit="1" customWidth="1"/>
    <col min="12804" max="12817" width="0" style="13" hidden="1" customWidth="1"/>
    <col min="12818" max="12818" width="12.28515625" style="13" customWidth="1"/>
    <col min="12819" max="12819" width="11.85546875" style="13" customWidth="1"/>
    <col min="12820" max="12850" width="0" style="13" hidden="1" customWidth="1"/>
    <col min="12851" max="12851" width="11.85546875" style="13" bestFit="1" customWidth="1"/>
    <col min="12852" max="12857" width="0" style="13" hidden="1" customWidth="1"/>
    <col min="12858" max="12859" width="11.28515625" style="13" customWidth="1"/>
    <col min="12860" max="12860" width="11" style="13" customWidth="1"/>
    <col min="12861" max="12861" width="9.140625" style="13" bestFit="1"/>
    <col min="12862" max="12862" width="0" style="13" hidden="1" customWidth="1"/>
    <col min="12863" max="12864" width="11.28515625" style="13" customWidth="1"/>
    <col min="12865" max="12865" width="0" style="13" hidden="1" customWidth="1"/>
    <col min="12866" max="12866" width="11.28515625" style="13" customWidth="1"/>
    <col min="12867" max="12867" width="11.28515625" style="13" bestFit="1" customWidth="1"/>
    <col min="12868" max="12868" width="14" style="13" bestFit="1" customWidth="1"/>
    <col min="12869" max="12869" width="13.140625" style="13" customWidth="1"/>
    <col min="12870" max="12870" width="0" style="13" hidden="1" customWidth="1"/>
    <col min="12871" max="12871" width="10.7109375" style="13" customWidth="1"/>
    <col min="12872" max="13056" width="9.140625" style="13"/>
    <col min="13057" max="13057" width="3.28515625" style="13" customWidth="1"/>
    <col min="13058" max="13058" width="34.28515625" style="13" customWidth="1"/>
    <col min="13059" max="13059" width="13" style="13" bestFit="1" customWidth="1"/>
    <col min="13060" max="13073" width="0" style="13" hidden="1" customWidth="1"/>
    <col min="13074" max="13074" width="12.28515625" style="13" customWidth="1"/>
    <col min="13075" max="13075" width="11.85546875" style="13" customWidth="1"/>
    <col min="13076" max="13106" width="0" style="13" hidden="1" customWidth="1"/>
    <col min="13107" max="13107" width="11.85546875" style="13" bestFit="1" customWidth="1"/>
    <col min="13108" max="13113" width="0" style="13" hidden="1" customWidth="1"/>
    <col min="13114" max="13115" width="11.28515625" style="13" customWidth="1"/>
    <col min="13116" max="13116" width="11" style="13" customWidth="1"/>
    <col min="13117" max="13117" width="9.140625" style="13" bestFit="1"/>
    <col min="13118" max="13118" width="0" style="13" hidden="1" customWidth="1"/>
    <col min="13119" max="13120" width="11.28515625" style="13" customWidth="1"/>
    <col min="13121" max="13121" width="0" style="13" hidden="1" customWidth="1"/>
    <col min="13122" max="13122" width="11.28515625" style="13" customWidth="1"/>
    <col min="13123" max="13123" width="11.28515625" style="13" bestFit="1" customWidth="1"/>
    <col min="13124" max="13124" width="14" style="13" bestFit="1" customWidth="1"/>
    <col min="13125" max="13125" width="13.140625" style="13" customWidth="1"/>
    <col min="13126" max="13126" width="0" style="13" hidden="1" customWidth="1"/>
    <col min="13127" max="13127" width="10.7109375" style="13" customWidth="1"/>
    <col min="13128" max="13312" width="9.140625" style="13"/>
    <col min="13313" max="13313" width="3.28515625" style="13" customWidth="1"/>
    <col min="13314" max="13314" width="34.28515625" style="13" customWidth="1"/>
    <col min="13315" max="13315" width="13" style="13" bestFit="1" customWidth="1"/>
    <col min="13316" max="13329" width="0" style="13" hidden="1" customWidth="1"/>
    <col min="13330" max="13330" width="12.28515625" style="13" customWidth="1"/>
    <col min="13331" max="13331" width="11.85546875" style="13" customWidth="1"/>
    <col min="13332" max="13362" width="0" style="13" hidden="1" customWidth="1"/>
    <col min="13363" max="13363" width="11.85546875" style="13" bestFit="1" customWidth="1"/>
    <col min="13364" max="13369" width="0" style="13" hidden="1" customWidth="1"/>
    <col min="13370" max="13371" width="11.28515625" style="13" customWidth="1"/>
    <col min="13372" max="13372" width="11" style="13" customWidth="1"/>
    <col min="13373" max="13373" width="9.140625" style="13" bestFit="1"/>
    <col min="13374" max="13374" width="0" style="13" hidden="1" customWidth="1"/>
    <col min="13375" max="13376" width="11.28515625" style="13" customWidth="1"/>
    <col min="13377" max="13377" width="0" style="13" hidden="1" customWidth="1"/>
    <col min="13378" max="13378" width="11.28515625" style="13" customWidth="1"/>
    <col min="13379" max="13379" width="11.28515625" style="13" bestFit="1" customWidth="1"/>
    <col min="13380" max="13380" width="14" style="13" bestFit="1" customWidth="1"/>
    <col min="13381" max="13381" width="13.140625" style="13" customWidth="1"/>
    <col min="13382" max="13382" width="0" style="13" hidden="1" customWidth="1"/>
    <col min="13383" max="13383" width="10.7109375" style="13" customWidth="1"/>
    <col min="13384" max="13568" width="9.140625" style="13"/>
    <col min="13569" max="13569" width="3.28515625" style="13" customWidth="1"/>
    <col min="13570" max="13570" width="34.28515625" style="13" customWidth="1"/>
    <col min="13571" max="13571" width="13" style="13" bestFit="1" customWidth="1"/>
    <col min="13572" max="13585" width="0" style="13" hidden="1" customWidth="1"/>
    <col min="13586" max="13586" width="12.28515625" style="13" customWidth="1"/>
    <col min="13587" max="13587" width="11.85546875" style="13" customWidth="1"/>
    <col min="13588" max="13618" width="0" style="13" hidden="1" customWidth="1"/>
    <col min="13619" max="13619" width="11.85546875" style="13" bestFit="1" customWidth="1"/>
    <col min="13620" max="13625" width="0" style="13" hidden="1" customWidth="1"/>
    <col min="13626" max="13627" width="11.28515625" style="13" customWidth="1"/>
    <col min="13628" max="13628" width="11" style="13" customWidth="1"/>
    <col min="13629" max="13629" width="9.140625" style="13" bestFit="1"/>
    <col min="13630" max="13630" width="0" style="13" hidden="1" customWidth="1"/>
    <col min="13631" max="13632" width="11.28515625" style="13" customWidth="1"/>
    <col min="13633" max="13633" width="0" style="13" hidden="1" customWidth="1"/>
    <col min="13634" max="13634" width="11.28515625" style="13" customWidth="1"/>
    <col min="13635" max="13635" width="11.28515625" style="13" bestFit="1" customWidth="1"/>
    <col min="13636" max="13636" width="14" style="13" bestFit="1" customWidth="1"/>
    <col min="13637" max="13637" width="13.140625" style="13" customWidth="1"/>
    <col min="13638" max="13638" width="0" style="13" hidden="1" customWidth="1"/>
    <col min="13639" max="13639" width="10.7109375" style="13" customWidth="1"/>
    <col min="13640" max="13824" width="9.140625" style="13"/>
    <col min="13825" max="13825" width="3.28515625" style="13" customWidth="1"/>
    <col min="13826" max="13826" width="34.28515625" style="13" customWidth="1"/>
    <col min="13827" max="13827" width="13" style="13" bestFit="1" customWidth="1"/>
    <col min="13828" max="13841" width="0" style="13" hidden="1" customWidth="1"/>
    <col min="13842" max="13842" width="12.28515625" style="13" customWidth="1"/>
    <col min="13843" max="13843" width="11.85546875" style="13" customWidth="1"/>
    <col min="13844" max="13874" width="0" style="13" hidden="1" customWidth="1"/>
    <col min="13875" max="13875" width="11.85546875" style="13" bestFit="1" customWidth="1"/>
    <col min="13876" max="13881" width="0" style="13" hidden="1" customWidth="1"/>
    <col min="13882" max="13883" width="11.28515625" style="13" customWidth="1"/>
    <col min="13884" max="13884" width="11" style="13" customWidth="1"/>
    <col min="13885" max="13885" width="9.140625" style="13" bestFit="1"/>
    <col min="13886" max="13886" width="0" style="13" hidden="1" customWidth="1"/>
    <col min="13887" max="13888" width="11.28515625" style="13" customWidth="1"/>
    <col min="13889" max="13889" width="0" style="13" hidden="1" customWidth="1"/>
    <col min="13890" max="13890" width="11.28515625" style="13" customWidth="1"/>
    <col min="13891" max="13891" width="11.28515625" style="13" bestFit="1" customWidth="1"/>
    <col min="13892" max="13892" width="14" style="13" bestFit="1" customWidth="1"/>
    <col min="13893" max="13893" width="13.140625" style="13" customWidth="1"/>
    <col min="13894" max="13894" width="0" style="13" hidden="1" customWidth="1"/>
    <col min="13895" max="13895" width="10.7109375" style="13" customWidth="1"/>
    <col min="13896" max="14080" width="9.140625" style="13"/>
    <col min="14081" max="14081" width="3.28515625" style="13" customWidth="1"/>
    <col min="14082" max="14082" width="34.28515625" style="13" customWidth="1"/>
    <col min="14083" max="14083" width="13" style="13" bestFit="1" customWidth="1"/>
    <col min="14084" max="14097" width="0" style="13" hidden="1" customWidth="1"/>
    <col min="14098" max="14098" width="12.28515625" style="13" customWidth="1"/>
    <col min="14099" max="14099" width="11.85546875" style="13" customWidth="1"/>
    <col min="14100" max="14130" width="0" style="13" hidden="1" customWidth="1"/>
    <col min="14131" max="14131" width="11.85546875" style="13" bestFit="1" customWidth="1"/>
    <col min="14132" max="14137" width="0" style="13" hidden="1" customWidth="1"/>
    <col min="14138" max="14139" width="11.28515625" style="13" customWidth="1"/>
    <col min="14140" max="14140" width="11" style="13" customWidth="1"/>
    <col min="14141" max="14141" width="9.140625" style="13" bestFit="1"/>
    <col min="14142" max="14142" width="0" style="13" hidden="1" customWidth="1"/>
    <col min="14143" max="14144" width="11.28515625" style="13" customWidth="1"/>
    <col min="14145" max="14145" width="0" style="13" hidden="1" customWidth="1"/>
    <col min="14146" max="14146" width="11.28515625" style="13" customWidth="1"/>
    <col min="14147" max="14147" width="11.28515625" style="13" bestFit="1" customWidth="1"/>
    <col min="14148" max="14148" width="14" style="13" bestFit="1" customWidth="1"/>
    <col min="14149" max="14149" width="13.140625" style="13" customWidth="1"/>
    <col min="14150" max="14150" width="0" style="13" hidden="1" customWidth="1"/>
    <col min="14151" max="14151" width="10.7109375" style="13" customWidth="1"/>
    <col min="14152" max="14336" width="9.140625" style="13"/>
    <col min="14337" max="14337" width="3.28515625" style="13" customWidth="1"/>
    <col min="14338" max="14338" width="34.28515625" style="13" customWidth="1"/>
    <col min="14339" max="14339" width="13" style="13" bestFit="1" customWidth="1"/>
    <col min="14340" max="14353" width="0" style="13" hidden="1" customWidth="1"/>
    <col min="14354" max="14354" width="12.28515625" style="13" customWidth="1"/>
    <col min="14355" max="14355" width="11.85546875" style="13" customWidth="1"/>
    <col min="14356" max="14386" width="0" style="13" hidden="1" customWidth="1"/>
    <col min="14387" max="14387" width="11.85546875" style="13" bestFit="1" customWidth="1"/>
    <col min="14388" max="14393" width="0" style="13" hidden="1" customWidth="1"/>
    <col min="14394" max="14395" width="11.28515625" style="13" customWidth="1"/>
    <col min="14396" max="14396" width="11" style="13" customWidth="1"/>
    <col min="14397" max="14397" width="9.140625" style="13" bestFit="1"/>
    <col min="14398" max="14398" width="0" style="13" hidden="1" customWidth="1"/>
    <col min="14399" max="14400" width="11.28515625" style="13" customWidth="1"/>
    <col min="14401" max="14401" width="0" style="13" hidden="1" customWidth="1"/>
    <col min="14402" max="14402" width="11.28515625" style="13" customWidth="1"/>
    <col min="14403" max="14403" width="11.28515625" style="13" bestFit="1" customWidth="1"/>
    <col min="14404" max="14404" width="14" style="13" bestFit="1" customWidth="1"/>
    <col min="14405" max="14405" width="13.140625" style="13" customWidth="1"/>
    <col min="14406" max="14406" width="0" style="13" hidden="1" customWidth="1"/>
    <col min="14407" max="14407" width="10.7109375" style="13" customWidth="1"/>
    <col min="14408" max="14592" width="9.140625" style="13"/>
    <col min="14593" max="14593" width="3.28515625" style="13" customWidth="1"/>
    <col min="14594" max="14594" width="34.28515625" style="13" customWidth="1"/>
    <col min="14595" max="14595" width="13" style="13" bestFit="1" customWidth="1"/>
    <col min="14596" max="14609" width="0" style="13" hidden="1" customWidth="1"/>
    <col min="14610" max="14610" width="12.28515625" style="13" customWidth="1"/>
    <col min="14611" max="14611" width="11.85546875" style="13" customWidth="1"/>
    <col min="14612" max="14642" width="0" style="13" hidden="1" customWidth="1"/>
    <col min="14643" max="14643" width="11.85546875" style="13" bestFit="1" customWidth="1"/>
    <col min="14644" max="14649" width="0" style="13" hidden="1" customWidth="1"/>
    <col min="14650" max="14651" width="11.28515625" style="13" customWidth="1"/>
    <col min="14652" max="14652" width="11" style="13" customWidth="1"/>
    <col min="14653" max="14653" width="9.140625" style="13" bestFit="1"/>
    <col min="14654" max="14654" width="0" style="13" hidden="1" customWidth="1"/>
    <col min="14655" max="14656" width="11.28515625" style="13" customWidth="1"/>
    <col min="14657" max="14657" width="0" style="13" hidden="1" customWidth="1"/>
    <col min="14658" max="14658" width="11.28515625" style="13" customWidth="1"/>
    <col min="14659" max="14659" width="11.28515625" style="13" bestFit="1" customWidth="1"/>
    <col min="14660" max="14660" width="14" style="13" bestFit="1" customWidth="1"/>
    <col min="14661" max="14661" width="13.140625" style="13" customWidth="1"/>
    <col min="14662" max="14662" width="0" style="13" hidden="1" customWidth="1"/>
    <col min="14663" max="14663" width="10.7109375" style="13" customWidth="1"/>
    <col min="14664" max="14848" width="9.140625" style="13"/>
    <col min="14849" max="14849" width="3.28515625" style="13" customWidth="1"/>
    <col min="14850" max="14850" width="34.28515625" style="13" customWidth="1"/>
    <col min="14851" max="14851" width="13" style="13" bestFit="1" customWidth="1"/>
    <col min="14852" max="14865" width="0" style="13" hidden="1" customWidth="1"/>
    <col min="14866" max="14866" width="12.28515625" style="13" customWidth="1"/>
    <col min="14867" max="14867" width="11.85546875" style="13" customWidth="1"/>
    <col min="14868" max="14898" width="0" style="13" hidden="1" customWidth="1"/>
    <col min="14899" max="14899" width="11.85546875" style="13" bestFit="1" customWidth="1"/>
    <col min="14900" max="14905" width="0" style="13" hidden="1" customWidth="1"/>
    <col min="14906" max="14907" width="11.28515625" style="13" customWidth="1"/>
    <col min="14908" max="14908" width="11" style="13" customWidth="1"/>
    <col min="14909" max="14909" width="9.140625" style="13" bestFit="1"/>
    <col min="14910" max="14910" width="0" style="13" hidden="1" customWidth="1"/>
    <col min="14911" max="14912" width="11.28515625" style="13" customWidth="1"/>
    <col min="14913" max="14913" width="0" style="13" hidden="1" customWidth="1"/>
    <col min="14914" max="14914" width="11.28515625" style="13" customWidth="1"/>
    <col min="14915" max="14915" width="11.28515625" style="13" bestFit="1" customWidth="1"/>
    <col min="14916" max="14916" width="14" style="13" bestFit="1" customWidth="1"/>
    <col min="14917" max="14917" width="13.140625" style="13" customWidth="1"/>
    <col min="14918" max="14918" width="0" style="13" hidden="1" customWidth="1"/>
    <col min="14919" max="14919" width="10.7109375" style="13" customWidth="1"/>
    <col min="14920" max="15104" width="9.140625" style="13"/>
    <col min="15105" max="15105" width="3.28515625" style="13" customWidth="1"/>
    <col min="15106" max="15106" width="34.28515625" style="13" customWidth="1"/>
    <col min="15107" max="15107" width="13" style="13" bestFit="1" customWidth="1"/>
    <col min="15108" max="15121" width="0" style="13" hidden="1" customWidth="1"/>
    <col min="15122" max="15122" width="12.28515625" style="13" customWidth="1"/>
    <col min="15123" max="15123" width="11.85546875" style="13" customWidth="1"/>
    <col min="15124" max="15154" width="0" style="13" hidden="1" customWidth="1"/>
    <col min="15155" max="15155" width="11.85546875" style="13" bestFit="1" customWidth="1"/>
    <col min="15156" max="15161" width="0" style="13" hidden="1" customWidth="1"/>
    <col min="15162" max="15163" width="11.28515625" style="13" customWidth="1"/>
    <col min="15164" max="15164" width="11" style="13" customWidth="1"/>
    <col min="15165" max="15165" width="9.140625" style="13" bestFit="1"/>
    <col min="15166" max="15166" width="0" style="13" hidden="1" customWidth="1"/>
    <col min="15167" max="15168" width="11.28515625" style="13" customWidth="1"/>
    <col min="15169" max="15169" width="0" style="13" hidden="1" customWidth="1"/>
    <col min="15170" max="15170" width="11.28515625" style="13" customWidth="1"/>
    <col min="15171" max="15171" width="11.28515625" style="13" bestFit="1" customWidth="1"/>
    <col min="15172" max="15172" width="14" style="13" bestFit="1" customWidth="1"/>
    <col min="15173" max="15173" width="13.140625" style="13" customWidth="1"/>
    <col min="15174" max="15174" width="0" style="13" hidden="1" customWidth="1"/>
    <col min="15175" max="15175" width="10.7109375" style="13" customWidth="1"/>
    <col min="15176" max="15360" width="9.140625" style="13"/>
    <col min="15361" max="15361" width="3.28515625" style="13" customWidth="1"/>
    <col min="15362" max="15362" width="34.28515625" style="13" customWidth="1"/>
    <col min="15363" max="15363" width="13" style="13" bestFit="1" customWidth="1"/>
    <col min="15364" max="15377" width="0" style="13" hidden="1" customWidth="1"/>
    <col min="15378" max="15378" width="12.28515625" style="13" customWidth="1"/>
    <col min="15379" max="15379" width="11.85546875" style="13" customWidth="1"/>
    <col min="15380" max="15410" width="0" style="13" hidden="1" customWidth="1"/>
    <col min="15411" max="15411" width="11.85546875" style="13" bestFit="1" customWidth="1"/>
    <col min="15412" max="15417" width="0" style="13" hidden="1" customWidth="1"/>
    <col min="15418" max="15419" width="11.28515625" style="13" customWidth="1"/>
    <col min="15420" max="15420" width="11" style="13" customWidth="1"/>
    <col min="15421" max="15421" width="9.140625" style="13" bestFit="1"/>
    <col min="15422" max="15422" width="0" style="13" hidden="1" customWidth="1"/>
    <col min="15423" max="15424" width="11.28515625" style="13" customWidth="1"/>
    <col min="15425" max="15425" width="0" style="13" hidden="1" customWidth="1"/>
    <col min="15426" max="15426" width="11.28515625" style="13" customWidth="1"/>
    <col min="15427" max="15427" width="11.28515625" style="13" bestFit="1" customWidth="1"/>
    <col min="15428" max="15428" width="14" style="13" bestFit="1" customWidth="1"/>
    <col min="15429" max="15429" width="13.140625" style="13" customWidth="1"/>
    <col min="15430" max="15430" width="0" style="13" hidden="1" customWidth="1"/>
    <col min="15431" max="15431" width="10.7109375" style="13" customWidth="1"/>
    <col min="15432" max="15616" width="9.140625" style="13"/>
    <col min="15617" max="15617" width="3.28515625" style="13" customWidth="1"/>
    <col min="15618" max="15618" width="34.28515625" style="13" customWidth="1"/>
    <col min="15619" max="15619" width="13" style="13" bestFit="1" customWidth="1"/>
    <col min="15620" max="15633" width="0" style="13" hidden="1" customWidth="1"/>
    <col min="15634" max="15634" width="12.28515625" style="13" customWidth="1"/>
    <col min="15635" max="15635" width="11.85546875" style="13" customWidth="1"/>
    <col min="15636" max="15666" width="0" style="13" hidden="1" customWidth="1"/>
    <col min="15667" max="15667" width="11.85546875" style="13" bestFit="1" customWidth="1"/>
    <col min="15668" max="15673" width="0" style="13" hidden="1" customWidth="1"/>
    <col min="15674" max="15675" width="11.28515625" style="13" customWidth="1"/>
    <col min="15676" max="15676" width="11" style="13" customWidth="1"/>
    <col min="15677" max="15677" width="9.140625" style="13" bestFit="1"/>
    <col min="15678" max="15678" width="0" style="13" hidden="1" customWidth="1"/>
    <col min="15679" max="15680" width="11.28515625" style="13" customWidth="1"/>
    <col min="15681" max="15681" width="0" style="13" hidden="1" customWidth="1"/>
    <col min="15682" max="15682" width="11.28515625" style="13" customWidth="1"/>
    <col min="15683" max="15683" width="11.28515625" style="13" bestFit="1" customWidth="1"/>
    <col min="15684" max="15684" width="14" style="13" bestFit="1" customWidth="1"/>
    <col min="15685" max="15685" width="13.140625" style="13" customWidth="1"/>
    <col min="15686" max="15686" width="0" style="13" hidden="1" customWidth="1"/>
    <col min="15687" max="15687" width="10.7109375" style="13" customWidth="1"/>
    <col min="15688" max="15872" width="9.140625" style="13"/>
    <col min="15873" max="15873" width="3.28515625" style="13" customWidth="1"/>
    <col min="15874" max="15874" width="34.28515625" style="13" customWidth="1"/>
    <col min="15875" max="15875" width="13" style="13" bestFit="1" customWidth="1"/>
    <col min="15876" max="15889" width="0" style="13" hidden="1" customWidth="1"/>
    <col min="15890" max="15890" width="12.28515625" style="13" customWidth="1"/>
    <col min="15891" max="15891" width="11.85546875" style="13" customWidth="1"/>
    <col min="15892" max="15922" width="0" style="13" hidden="1" customWidth="1"/>
    <col min="15923" max="15923" width="11.85546875" style="13" bestFit="1" customWidth="1"/>
    <col min="15924" max="15929" width="0" style="13" hidden="1" customWidth="1"/>
    <col min="15930" max="15931" width="11.28515625" style="13" customWidth="1"/>
    <col min="15932" max="15932" width="11" style="13" customWidth="1"/>
    <col min="15933" max="15933" width="9.140625" style="13" bestFit="1"/>
    <col min="15934" max="15934" width="0" style="13" hidden="1" customWidth="1"/>
    <col min="15935" max="15936" width="11.28515625" style="13" customWidth="1"/>
    <col min="15937" max="15937" width="0" style="13" hidden="1" customWidth="1"/>
    <col min="15938" max="15938" width="11.28515625" style="13" customWidth="1"/>
    <col min="15939" max="15939" width="11.28515625" style="13" bestFit="1" customWidth="1"/>
    <col min="15940" max="15940" width="14" style="13" bestFit="1" customWidth="1"/>
    <col min="15941" max="15941" width="13.140625" style="13" customWidth="1"/>
    <col min="15942" max="15942" width="0" style="13" hidden="1" customWidth="1"/>
    <col min="15943" max="15943" width="10.7109375" style="13" customWidth="1"/>
    <col min="15944" max="16128" width="9.140625" style="13"/>
    <col min="16129" max="16129" width="3.28515625" style="13" customWidth="1"/>
    <col min="16130" max="16130" width="34.28515625" style="13" customWidth="1"/>
    <col min="16131" max="16131" width="13" style="13" bestFit="1" customWidth="1"/>
    <col min="16132" max="16145" width="0" style="13" hidden="1" customWidth="1"/>
    <col min="16146" max="16146" width="12.28515625" style="13" customWidth="1"/>
    <col min="16147" max="16147" width="11.85546875" style="13" customWidth="1"/>
    <col min="16148" max="16178" width="0" style="13" hidden="1" customWidth="1"/>
    <col min="16179" max="16179" width="11.85546875" style="13" bestFit="1" customWidth="1"/>
    <col min="16180" max="16185" width="0" style="13" hidden="1" customWidth="1"/>
    <col min="16186" max="16187" width="11.28515625" style="13" customWidth="1"/>
    <col min="16188" max="16188" width="11" style="13" customWidth="1"/>
    <col min="16189" max="16189" width="9.140625" style="13" bestFit="1"/>
    <col min="16190" max="16190" width="0" style="13" hidden="1" customWidth="1"/>
    <col min="16191" max="16192" width="11.28515625" style="13" customWidth="1"/>
    <col min="16193" max="16193" width="0" style="13" hidden="1" customWidth="1"/>
    <col min="16194" max="16194" width="11.28515625" style="13" customWidth="1"/>
    <col min="16195" max="16195" width="11.28515625" style="13" bestFit="1" customWidth="1"/>
    <col min="16196" max="16196" width="14" style="13" bestFit="1" customWidth="1"/>
    <col min="16197" max="16197" width="13.140625" style="13" customWidth="1"/>
    <col min="16198" max="16198" width="0" style="13" hidden="1" customWidth="1"/>
    <col min="16199" max="16199" width="10.7109375" style="13" customWidth="1"/>
    <col min="16200" max="16384" width="9.140625" style="13"/>
  </cols>
  <sheetData>
    <row r="1" spans="1:74" s="7" customFormat="1" ht="14.25" customHeight="1" x14ac:dyDescent="0.2">
      <c r="A1" s="1" t="s">
        <v>0</v>
      </c>
      <c r="B1" s="1"/>
      <c r="C1" s="4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AP1" s="1"/>
      <c r="AQ1" s="1"/>
      <c r="AR1" s="1"/>
      <c r="AS1" s="1"/>
      <c r="AT1" s="1"/>
      <c r="BP1" s="219"/>
      <c r="BQ1" s="6" t="s">
        <v>106</v>
      </c>
    </row>
    <row r="2" spans="1:74" x14ac:dyDescent="0.2">
      <c r="A2" s="8"/>
    </row>
    <row r="3" spans="1:74" s="7" customFormat="1" ht="15.75" thickBot="1" x14ac:dyDescent="0.25">
      <c r="A3" s="1" t="s">
        <v>107</v>
      </c>
      <c r="C3" s="3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AP3" s="1"/>
      <c r="AQ3" s="1"/>
      <c r="AR3" s="1"/>
      <c r="AS3" s="1"/>
      <c r="AT3" s="1"/>
      <c r="BP3" s="220"/>
    </row>
    <row r="4" spans="1:74" s="45" customFormat="1" ht="94.5" customHeight="1" thickBot="1" x14ac:dyDescent="0.3">
      <c r="A4" s="221" t="s">
        <v>3</v>
      </c>
      <c r="B4" s="21" t="s">
        <v>4</v>
      </c>
      <c r="C4" s="222" t="s">
        <v>5</v>
      </c>
      <c r="D4" s="17" t="s">
        <v>6</v>
      </c>
      <c r="E4" s="18" t="s">
        <v>7</v>
      </c>
      <c r="F4" s="19" t="s">
        <v>8</v>
      </c>
      <c r="G4" s="20" t="s">
        <v>9</v>
      </c>
      <c r="H4" s="17" t="s">
        <v>10</v>
      </c>
      <c r="I4" s="21" t="s">
        <v>11</v>
      </c>
      <c r="J4" s="22" t="s">
        <v>12</v>
      </c>
      <c r="K4" s="18" t="s">
        <v>13</v>
      </c>
      <c r="L4" s="19" t="s">
        <v>14</v>
      </c>
      <c r="M4" s="23" t="s">
        <v>15</v>
      </c>
      <c r="N4" s="18" t="s">
        <v>16</v>
      </c>
      <c r="O4" s="19" t="s">
        <v>17</v>
      </c>
      <c r="P4" s="20" t="s">
        <v>18</v>
      </c>
      <c r="Q4" s="20" t="s">
        <v>108</v>
      </c>
      <c r="R4" s="25" t="s">
        <v>109</v>
      </c>
      <c r="S4" s="25" t="s">
        <v>21</v>
      </c>
      <c r="T4" s="33" t="s">
        <v>22</v>
      </c>
      <c r="U4" s="28" t="s">
        <v>24</v>
      </c>
      <c r="V4" s="19" t="s">
        <v>25</v>
      </c>
      <c r="W4" s="20" t="s">
        <v>26</v>
      </c>
      <c r="X4" s="20" t="s">
        <v>27</v>
      </c>
      <c r="Y4" s="33" t="s">
        <v>28</v>
      </c>
      <c r="Z4" s="223" t="s">
        <v>29</v>
      </c>
      <c r="AA4" s="28" t="s">
        <v>30</v>
      </c>
      <c r="AB4" s="19" t="s">
        <v>31</v>
      </c>
      <c r="AC4" s="33" t="s">
        <v>32</v>
      </c>
      <c r="AD4" s="28" t="s">
        <v>33</v>
      </c>
      <c r="AE4" s="19" t="s">
        <v>34</v>
      </c>
      <c r="AF4" s="20" t="s">
        <v>35</v>
      </c>
      <c r="AG4" s="19" t="s">
        <v>36</v>
      </c>
      <c r="AH4" s="34" t="s">
        <v>37</v>
      </c>
      <c r="AI4" s="34" t="s">
        <v>38</v>
      </c>
      <c r="AJ4" s="37" t="s">
        <v>39</v>
      </c>
      <c r="AK4" s="36" t="s">
        <v>40</v>
      </c>
      <c r="AL4" s="19" t="s">
        <v>41</v>
      </c>
      <c r="AM4" s="20" t="s">
        <v>42</v>
      </c>
      <c r="AN4" s="20" t="s">
        <v>43</v>
      </c>
      <c r="AO4" s="34" t="s">
        <v>44</v>
      </c>
      <c r="AP4" s="34" t="s">
        <v>45</v>
      </c>
      <c r="AQ4" s="36" t="s">
        <v>46</v>
      </c>
      <c r="AR4" s="19" t="s">
        <v>47</v>
      </c>
      <c r="AS4" s="20" t="s">
        <v>110</v>
      </c>
      <c r="AT4" s="20" t="s">
        <v>49</v>
      </c>
      <c r="AU4" s="34" t="s">
        <v>50</v>
      </c>
      <c r="AV4" s="34" t="s">
        <v>51</v>
      </c>
      <c r="AW4" s="36" t="s">
        <v>111</v>
      </c>
      <c r="AX4" s="19" t="s">
        <v>53</v>
      </c>
      <c r="AY4" s="38" t="s">
        <v>56</v>
      </c>
      <c r="AZ4" s="34" t="s">
        <v>57</v>
      </c>
      <c r="BA4" s="37" t="s">
        <v>112</v>
      </c>
      <c r="BB4" s="37" t="s">
        <v>60</v>
      </c>
      <c r="BC4" s="37" t="s">
        <v>61</v>
      </c>
      <c r="BD4" s="37" t="s">
        <v>62</v>
      </c>
      <c r="BE4" s="40" t="s">
        <v>63</v>
      </c>
      <c r="BF4" s="36" t="s">
        <v>64</v>
      </c>
      <c r="BG4" s="19" t="s">
        <v>113</v>
      </c>
      <c r="BH4" s="20" t="s">
        <v>114</v>
      </c>
      <c r="BI4" s="20" t="s">
        <v>115</v>
      </c>
      <c r="BJ4" s="34" t="s">
        <v>68</v>
      </c>
      <c r="BK4" s="40" t="s">
        <v>69</v>
      </c>
      <c r="BL4" s="40" t="s">
        <v>70</v>
      </c>
      <c r="BM4" s="34" t="s">
        <v>71</v>
      </c>
      <c r="BN4" s="40" t="s">
        <v>72</v>
      </c>
      <c r="BO4" s="41" t="s">
        <v>73</v>
      </c>
      <c r="BP4" s="224" t="s">
        <v>74</v>
      </c>
      <c r="BQ4" s="43" t="s">
        <v>116</v>
      </c>
      <c r="BR4" s="21" t="s">
        <v>117</v>
      </c>
      <c r="BS4" s="225" t="s">
        <v>118</v>
      </c>
    </row>
    <row r="5" spans="1:74" s="77" customFormat="1" x14ac:dyDescent="0.2">
      <c r="A5" s="226">
        <v>1</v>
      </c>
      <c r="B5" s="227" t="s">
        <v>119</v>
      </c>
      <c r="C5" s="228">
        <v>607098.92000000004</v>
      </c>
      <c r="D5" s="113">
        <v>76000</v>
      </c>
      <c r="E5" s="114">
        <v>72639.27</v>
      </c>
      <c r="F5" s="58">
        <f t="shared" ref="F5:F10" si="0">D5-E5</f>
        <v>3360.7299999999959</v>
      </c>
      <c r="G5" s="115">
        <v>0</v>
      </c>
      <c r="H5" s="113">
        <v>75086.649999999994</v>
      </c>
      <c r="I5" s="115">
        <f>G5*G15/100</f>
        <v>0</v>
      </c>
      <c r="J5" s="229">
        <f>H5+I5+5985.82</f>
        <v>81072.47</v>
      </c>
      <c r="K5" s="230">
        <v>82019.06</v>
      </c>
      <c r="L5" s="231">
        <f>J5-K5</f>
        <v>-946.58999999999651</v>
      </c>
      <c r="M5" s="113">
        <f>80345-5985.82+6263.82</f>
        <v>80623</v>
      </c>
      <c r="N5" s="230">
        <f>81341.04</f>
        <v>81341.039999999994</v>
      </c>
      <c r="O5" s="232">
        <f t="shared" ref="O5:O10" si="1">M5-N5</f>
        <v>-718.0399999999936</v>
      </c>
      <c r="P5" s="115"/>
      <c r="Q5" s="115"/>
      <c r="R5" s="233">
        <f>E5+K5+N5</f>
        <v>235999.37</v>
      </c>
      <c r="S5" s="233">
        <f>U5++AA5+AD5</f>
        <v>217972.1</v>
      </c>
      <c r="T5" s="234">
        <f>75000-6263.82</f>
        <v>68736.179999999993</v>
      </c>
      <c r="U5" s="235">
        <v>68632.740000000005</v>
      </c>
      <c r="V5" s="234">
        <f>T5-U5</f>
        <v>103.43999999998778</v>
      </c>
      <c r="W5" s="234"/>
      <c r="X5" s="234"/>
      <c r="Y5" s="234">
        <v>75000</v>
      </c>
      <c r="Z5" s="236">
        <f>X5+Y5+12742.9</f>
        <v>87742.9</v>
      </c>
      <c r="AA5" s="235">
        <v>89091.27</v>
      </c>
      <c r="AB5" s="237">
        <f t="shared" ref="AB5:AB10" si="2">Z5-AA5</f>
        <v>-1348.3700000000099</v>
      </c>
      <c r="AC5" s="234">
        <f>73005.16-12742.9</f>
        <v>60262.26</v>
      </c>
      <c r="AD5" s="238">
        <v>60248.09</v>
      </c>
      <c r="AE5" s="234">
        <f t="shared" ref="AE5:AE10" si="3">AC5-AD5</f>
        <v>14.17000000000553</v>
      </c>
      <c r="AF5" s="234"/>
      <c r="AG5" s="239">
        <f t="shared" ref="AG5:AG10" si="4">AH5+AO5+AU5+AZ5+BJ5+BM5</f>
        <v>308111.83999999997</v>
      </c>
      <c r="AH5" s="234">
        <v>75000</v>
      </c>
      <c r="AI5" s="234"/>
      <c r="AJ5" s="236">
        <f>AH5+AI5</f>
        <v>75000</v>
      </c>
      <c r="AK5" s="240">
        <v>72407.820000000007</v>
      </c>
      <c r="AL5" s="241">
        <f t="shared" ref="AL5:AL10" si="5">AJ5-AK5</f>
        <v>2592.179999999993</v>
      </c>
      <c r="AM5" s="242"/>
      <c r="AN5" s="242"/>
      <c r="AO5" s="234">
        <v>75000</v>
      </c>
      <c r="AP5" s="243">
        <f t="shared" ref="AP5:AP10" si="6">AN5+AO5</f>
        <v>75000</v>
      </c>
      <c r="AQ5" s="244">
        <v>63874.11</v>
      </c>
      <c r="AR5" s="245">
        <f t="shared" ref="AR5:AR10" si="7">AP5-AQ5</f>
        <v>11125.89</v>
      </c>
      <c r="AS5" s="246"/>
      <c r="AT5" s="246"/>
      <c r="AU5" s="234">
        <v>50000</v>
      </c>
      <c r="AV5" s="239">
        <f>AT5+AU5+24195.51</f>
        <v>74195.509999999995</v>
      </c>
      <c r="AW5" s="244">
        <v>74432.240000000005</v>
      </c>
      <c r="AX5" s="247">
        <f t="shared" ref="AX5:AX10" si="8">AV5-AW5</f>
        <v>-236.73000000001048</v>
      </c>
      <c r="AY5" s="244">
        <f t="shared" ref="AY5:AY10" si="9">AK5+AQ5+AW5</f>
        <v>210714.16999999998</v>
      </c>
      <c r="AZ5" s="234">
        <f>75000-24195.51</f>
        <v>50804.490000000005</v>
      </c>
      <c r="BA5" s="236">
        <v>35692.47</v>
      </c>
      <c r="BB5" s="236"/>
      <c r="BC5" s="236">
        <v>35692.47</v>
      </c>
      <c r="BD5" s="236"/>
      <c r="BE5" s="248">
        <f>AZ5+BB5+16446.94</f>
        <v>67251.430000000008</v>
      </c>
      <c r="BF5" s="240">
        <v>67989.7</v>
      </c>
      <c r="BG5" s="249">
        <f t="shared" ref="BG5:BG10" si="10">BE5-BF5</f>
        <v>-738.26999999998952</v>
      </c>
      <c r="BH5" s="242">
        <f>(R5+S5+AY5+BF5)/10</f>
        <v>73267.533999999985</v>
      </c>
      <c r="BI5" s="242">
        <f>BJ15*BH5/100</f>
        <v>520.9561814949468</v>
      </c>
      <c r="BJ5" s="234">
        <v>55000</v>
      </c>
      <c r="BK5" s="248">
        <f>BC5+BJ5-16446.94</f>
        <v>74245.53</v>
      </c>
      <c r="BL5" s="248">
        <f>BI5+BK5</f>
        <v>74766.48618149494</v>
      </c>
      <c r="BM5" s="234">
        <v>2307.35</v>
      </c>
      <c r="BN5" s="248">
        <f t="shared" ref="BN5:BN10" si="11">BD5+BM5</f>
        <v>2307.35</v>
      </c>
      <c r="BO5" s="250">
        <f t="shared" ref="BO5:BO10" si="12">BF5+BL5+BN5</f>
        <v>145063.53618149494</v>
      </c>
      <c r="BP5" s="251">
        <f t="shared" ref="BP5:BP10" si="13">R5+S5+AY5+BO5</f>
        <v>809749.17618149484</v>
      </c>
      <c r="BQ5" s="48">
        <f t="shared" ref="BQ5:BQ10" si="14">R5+S5+AK5+AQ5+AW5+BF5</f>
        <v>732675.34</v>
      </c>
      <c r="BR5" s="66"/>
      <c r="BS5" s="76">
        <f>+BI5</f>
        <v>520.9561814949468</v>
      </c>
    </row>
    <row r="6" spans="1:74" s="77" customFormat="1" x14ac:dyDescent="0.2">
      <c r="A6" s="226">
        <v>2</v>
      </c>
      <c r="B6" s="227" t="s">
        <v>120</v>
      </c>
      <c r="C6" s="228">
        <v>464798.19</v>
      </c>
      <c r="D6" s="113">
        <f>41000+3278.19</f>
        <v>44278.19</v>
      </c>
      <c r="E6" s="114">
        <v>45305.62</v>
      </c>
      <c r="F6" s="252">
        <f t="shared" si="0"/>
        <v>-1027.4300000000003</v>
      </c>
      <c r="G6" s="115">
        <f>(C6+E6)/13</f>
        <v>39238.754615384612</v>
      </c>
      <c r="H6" s="113">
        <f>39651.95-3278.19</f>
        <v>36373.759999999995</v>
      </c>
      <c r="I6" s="115">
        <f>G6*G15/100</f>
        <v>1862.7192952642843</v>
      </c>
      <c r="J6" s="229">
        <f>H6+I6+1717.55</f>
        <v>39954.029295264285</v>
      </c>
      <c r="K6" s="230">
        <v>40851.96</v>
      </c>
      <c r="L6" s="231">
        <f>J6-K6</f>
        <v>-897.93070473571424</v>
      </c>
      <c r="M6" s="113">
        <f>42867.46-1717.55</f>
        <v>41149.909999999996</v>
      </c>
      <c r="N6" s="230">
        <v>41897.24</v>
      </c>
      <c r="O6" s="232">
        <f t="shared" si="1"/>
        <v>-747.33000000000175</v>
      </c>
      <c r="P6" s="115"/>
      <c r="Q6" s="115"/>
      <c r="R6" s="233">
        <f>E6+K6+N6</f>
        <v>128054.82</v>
      </c>
      <c r="S6" s="233">
        <f t="shared" ref="S6:S12" si="15">U6++AA6+AD6</f>
        <v>119280.42000000001</v>
      </c>
      <c r="T6" s="234">
        <f>39000+3798.05</f>
        <v>42798.05</v>
      </c>
      <c r="U6" s="235">
        <v>43227.03</v>
      </c>
      <c r="V6" s="253">
        <f t="shared" ref="V6:V12" si="16">T6-U6</f>
        <v>-428.97999999999593</v>
      </c>
      <c r="W6" s="234">
        <f>(R6+U6)/4</f>
        <v>42820.462500000001</v>
      </c>
      <c r="X6" s="234">
        <f>W6*X15/100</f>
        <v>127.70886296247531</v>
      </c>
      <c r="Y6" s="234">
        <f>39000-3798.05</f>
        <v>35201.949999999997</v>
      </c>
      <c r="Z6" s="236">
        <f>X6+Y6+3258.21</f>
        <v>38587.868862962474</v>
      </c>
      <c r="AA6" s="235">
        <v>40276.879999999997</v>
      </c>
      <c r="AB6" s="237">
        <f t="shared" si="2"/>
        <v>-1689.0111370375234</v>
      </c>
      <c r="AC6" s="234">
        <f>38438.8-3258.21</f>
        <v>35180.590000000004</v>
      </c>
      <c r="AD6" s="238">
        <v>35776.51</v>
      </c>
      <c r="AE6" s="247">
        <f t="shared" si="3"/>
        <v>-595.91999999999825</v>
      </c>
      <c r="AF6" s="239">
        <f>(R6+S6)/6</f>
        <v>41222.54</v>
      </c>
      <c r="AG6" s="239">
        <f t="shared" si="4"/>
        <v>175410.96</v>
      </c>
      <c r="AH6" s="242">
        <v>40000</v>
      </c>
      <c r="AI6" s="242">
        <f>AF6*AF17/100</f>
        <v>187.49795352939537</v>
      </c>
      <c r="AJ6" s="236">
        <f>AH6+AI6+3754.86</f>
        <v>43942.357953529397</v>
      </c>
      <c r="AK6" s="240">
        <v>45404.49</v>
      </c>
      <c r="AL6" s="249">
        <f t="shared" si="5"/>
        <v>-1462.1320464706005</v>
      </c>
      <c r="AM6" s="242">
        <f>(R6+S6+AK6)/7</f>
        <v>41819.961428571434</v>
      </c>
      <c r="AN6" s="242">
        <f>AM6*AN16/100</f>
        <v>300.49983911940785</v>
      </c>
      <c r="AO6" s="242">
        <f>40000-3754.86</f>
        <v>36245.14</v>
      </c>
      <c r="AP6" s="243">
        <f>AN6+AO6+3499.97</f>
        <v>40045.60983911941</v>
      </c>
      <c r="AQ6" s="244">
        <v>41107.08</v>
      </c>
      <c r="AR6" s="247">
        <f t="shared" si="7"/>
        <v>-1061.4701608805917</v>
      </c>
      <c r="AS6" s="246">
        <f>(R6+S6+AK6+AQ6)/8</f>
        <v>41730.851250000007</v>
      </c>
      <c r="AT6" s="246">
        <f>AS6*AT16/100</f>
        <v>4215.4811331556048</v>
      </c>
      <c r="AU6" s="242">
        <f>35000-3499.97</f>
        <v>31500.03</v>
      </c>
      <c r="AV6" s="239">
        <f>AT6+AU6</f>
        <v>35715.511133155604</v>
      </c>
      <c r="AW6" s="244">
        <v>36362.269999999997</v>
      </c>
      <c r="AX6" s="247">
        <f t="shared" si="8"/>
        <v>-646.7588668443932</v>
      </c>
      <c r="AY6" s="244">
        <f t="shared" si="9"/>
        <v>122873.84</v>
      </c>
      <c r="AZ6" s="242">
        <v>40000</v>
      </c>
      <c r="BA6" s="236">
        <v>19608.21</v>
      </c>
      <c r="BB6" s="236"/>
      <c r="BC6" s="236">
        <v>19608.21</v>
      </c>
      <c r="BD6" s="236"/>
      <c r="BE6" s="248">
        <f>AZ6+BB6+3869.72</f>
        <v>43869.72</v>
      </c>
      <c r="BF6" s="240">
        <v>45761.26</v>
      </c>
      <c r="BG6" s="249">
        <f t="shared" si="10"/>
        <v>-1891.5400000000009</v>
      </c>
      <c r="BH6" s="242">
        <f>(R6+S6+AY6+BF6)/10</f>
        <v>41597.034</v>
      </c>
      <c r="BI6" s="242">
        <f>BH6*BJ15/100</f>
        <v>295.76854591769768</v>
      </c>
      <c r="BJ6" s="242">
        <v>25000</v>
      </c>
      <c r="BK6" s="248">
        <f>BC6+BJ6-3869.72</f>
        <v>40738.49</v>
      </c>
      <c r="BL6" s="248">
        <f>BI6+BK6</f>
        <v>41034.258545917699</v>
      </c>
      <c r="BM6" s="242">
        <v>2665.79</v>
      </c>
      <c r="BN6" s="248">
        <f t="shared" si="11"/>
        <v>2665.79</v>
      </c>
      <c r="BO6" s="250">
        <f t="shared" si="12"/>
        <v>89461.308545917695</v>
      </c>
      <c r="BP6" s="251">
        <f t="shared" si="13"/>
        <v>459670.3885459177</v>
      </c>
      <c r="BQ6" s="48">
        <f t="shared" si="14"/>
        <v>415970.34000000008</v>
      </c>
      <c r="BR6" s="94"/>
      <c r="BS6" s="96">
        <f>+BI6</f>
        <v>295.76854591769768</v>
      </c>
    </row>
    <row r="7" spans="1:74" s="77" customFormat="1" x14ac:dyDescent="0.2">
      <c r="A7" s="226">
        <v>3</v>
      </c>
      <c r="B7" s="227" t="s">
        <v>121</v>
      </c>
      <c r="C7" s="228">
        <v>837260.07</v>
      </c>
      <c r="D7" s="113">
        <f>44000+84.37</f>
        <v>44084.37</v>
      </c>
      <c r="E7" s="114">
        <v>102163.79</v>
      </c>
      <c r="F7" s="252">
        <f t="shared" si="0"/>
        <v>-58079.419999999991</v>
      </c>
      <c r="G7" s="115">
        <f>(C7+E7)/13</f>
        <v>72263.373846153845</v>
      </c>
      <c r="H7" s="113">
        <f>43252.56-84.37</f>
        <v>43168.189999999995</v>
      </c>
      <c r="I7" s="115">
        <f>G7*G15/100</f>
        <v>3430.4447764341417</v>
      </c>
      <c r="J7" s="229">
        <f>H7+I7</f>
        <v>46598.634776434134</v>
      </c>
      <c r="K7" s="230">
        <v>88732.42</v>
      </c>
      <c r="L7" s="231">
        <f t="shared" ref="L7:L12" si="17">J7-K7</f>
        <v>-42133.785223565865</v>
      </c>
      <c r="M7" s="113">
        <v>46363.55</v>
      </c>
      <c r="N7" s="230">
        <v>100874.67</v>
      </c>
      <c r="O7" s="232">
        <f t="shared" si="1"/>
        <v>-54511.119999999995</v>
      </c>
      <c r="P7" s="115"/>
      <c r="Q7" s="115"/>
      <c r="R7" s="233">
        <f t="shared" ref="R7:R12" si="18">E7+K7+N7</f>
        <v>291770.88</v>
      </c>
      <c r="S7" s="233">
        <f t="shared" si="15"/>
        <v>309456.52999999997</v>
      </c>
      <c r="T7" s="234">
        <v>43000</v>
      </c>
      <c r="U7" s="235">
        <v>90857.62</v>
      </c>
      <c r="V7" s="253">
        <f t="shared" si="16"/>
        <v>-47857.619999999995</v>
      </c>
      <c r="W7" s="234">
        <f>(R7+U7)/4</f>
        <v>95657.125</v>
      </c>
      <c r="X7" s="234">
        <f>W7*X15/100</f>
        <v>285.29030175723511</v>
      </c>
      <c r="Y7" s="234">
        <v>43000</v>
      </c>
      <c r="Z7" s="236">
        <f>X7+Y7+1233.83</f>
        <v>44519.120301757233</v>
      </c>
      <c r="AA7" s="235">
        <v>114367.65</v>
      </c>
      <c r="AB7" s="237">
        <f t="shared" si="2"/>
        <v>-69848.529698242754</v>
      </c>
      <c r="AC7" s="234">
        <f>42813.56-1233.83+58.42</f>
        <v>41638.149999999994</v>
      </c>
      <c r="AD7" s="238">
        <v>104231.26</v>
      </c>
      <c r="AE7" s="247">
        <f t="shared" si="3"/>
        <v>-62593.11</v>
      </c>
      <c r="AF7" s="239">
        <f>(R7+S7)/6</f>
        <v>100204.56833333331</v>
      </c>
      <c r="AG7" s="239">
        <f t="shared" si="4"/>
        <v>219752.75</v>
      </c>
      <c r="AH7" s="242">
        <f>52000-58.42</f>
        <v>51941.58</v>
      </c>
      <c r="AI7" s="242">
        <f>AF7*AF17/100</f>
        <v>455.7737465182023</v>
      </c>
      <c r="AJ7" s="236">
        <f>AH7+AI7+549.02</f>
        <v>52946.373746518198</v>
      </c>
      <c r="AK7" s="240">
        <v>112107.48</v>
      </c>
      <c r="AL7" s="249">
        <f t="shared" si="5"/>
        <v>-59161.106253481797</v>
      </c>
      <c r="AM7" s="242">
        <f>(R7+S7+AK7)/7</f>
        <v>101904.98428571426</v>
      </c>
      <c r="AN7" s="242">
        <f>AM7*AN16/100</f>
        <v>732.24437176074605</v>
      </c>
      <c r="AO7" s="242">
        <f>52000-549.02</f>
        <v>51450.98</v>
      </c>
      <c r="AP7" s="254">
        <f t="shared" si="6"/>
        <v>52183.224371760749</v>
      </c>
      <c r="AQ7" s="244">
        <v>110677.87</v>
      </c>
      <c r="AR7" s="247">
        <f t="shared" si="7"/>
        <v>-58494.645628239246</v>
      </c>
      <c r="AS7" s="246">
        <f>(R6+S6+AK7+AQ7)/8</f>
        <v>58765.073750000003</v>
      </c>
      <c r="AT7" s="246">
        <f>AS7*AT16/100</f>
        <v>5936.2091177476923</v>
      </c>
      <c r="AU7" s="242">
        <v>45000</v>
      </c>
      <c r="AV7" s="239">
        <f>AT7+AU7</f>
        <v>50936.20911774769</v>
      </c>
      <c r="AW7" s="244">
        <v>121620.75</v>
      </c>
      <c r="AX7" s="247">
        <f t="shared" si="8"/>
        <v>-70684.540882252302</v>
      </c>
      <c r="AY7" s="244">
        <f t="shared" si="9"/>
        <v>344406.1</v>
      </c>
      <c r="AZ7" s="242">
        <v>52000</v>
      </c>
      <c r="BA7" s="236">
        <v>23668.32</v>
      </c>
      <c r="BB7" s="236"/>
      <c r="BC7" s="236">
        <v>23668.32</v>
      </c>
      <c r="BD7" s="236"/>
      <c r="BE7" s="248">
        <f>AZ7+BB7</f>
        <v>52000</v>
      </c>
      <c r="BF7" s="240">
        <v>145148.57999999999</v>
      </c>
      <c r="BG7" s="249">
        <f t="shared" si="10"/>
        <v>-93148.579999999987</v>
      </c>
      <c r="BH7" s="242">
        <f>(R7+S7+AY7+BF7)/10</f>
        <v>109078.20899999999</v>
      </c>
      <c r="BI7" s="242">
        <f>BJ15*BH7/100</f>
        <v>775.58181833918059</v>
      </c>
      <c r="BJ7" s="242">
        <v>17000</v>
      </c>
      <c r="BK7" s="248">
        <f>BC7+BJ7</f>
        <v>40668.32</v>
      </c>
      <c r="BL7" s="248">
        <f>BI7+BK7</f>
        <v>41443.901818339182</v>
      </c>
      <c r="BM7" s="242">
        <v>2360.19</v>
      </c>
      <c r="BN7" s="248">
        <f t="shared" si="11"/>
        <v>2360.19</v>
      </c>
      <c r="BO7" s="250">
        <f t="shared" si="12"/>
        <v>188952.67181833918</v>
      </c>
      <c r="BP7" s="251">
        <f t="shared" si="13"/>
        <v>1134586.181818339</v>
      </c>
      <c r="BQ7" s="48">
        <f t="shared" si="14"/>
        <v>1090782.0899999999</v>
      </c>
      <c r="BR7" s="94"/>
      <c r="BS7" s="96">
        <f>+BI7</f>
        <v>775.58181833918059</v>
      </c>
    </row>
    <row r="8" spans="1:74" s="77" customFormat="1" x14ac:dyDescent="0.2">
      <c r="A8" s="226">
        <v>4</v>
      </c>
      <c r="B8" s="227" t="s">
        <v>122</v>
      </c>
      <c r="C8" s="255">
        <v>1202864.54</v>
      </c>
      <c r="D8" s="123">
        <f>100000+25308.49</f>
        <v>125308.49</v>
      </c>
      <c r="E8" s="124">
        <v>152484.23000000001</v>
      </c>
      <c r="F8" s="252">
        <f t="shared" si="0"/>
        <v>-27175.740000000005</v>
      </c>
      <c r="G8" s="115">
        <f>(C8+E8)/13</f>
        <v>104257.5976923077</v>
      </c>
      <c r="H8" s="123">
        <f>99090.18-25308.49</f>
        <v>73781.689999999988</v>
      </c>
      <c r="I8" s="256">
        <f>G8*G15/100</f>
        <v>4949.2559283015644</v>
      </c>
      <c r="J8" s="229">
        <f>H8+I8</f>
        <v>78730.945928301546</v>
      </c>
      <c r="K8" s="230">
        <v>108354.7</v>
      </c>
      <c r="L8" s="231">
        <f t="shared" si="17"/>
        <v>-29623.754071698451</v>
      </c>
      <c r="M8" s="123">
        <v>112234.68</v>
      </c>
      <c r="N8" s="257">
        <v>141844.15</v>
      </c>
      <c r="O8" s="231">
        <f t="shared" si="1"/>
        <v>-29609.47</v>
      </c>
      <c r="P8" s="115"/>
      <c r="Q8" s="115"/>
      <c r="R8" s="233">
        <f t="shared" si="18"/>
        <v>402683.07999999996</v>
      </c>
      <c r="S8" s="233">
        <f t="shared" si="15"/>
        <v>434543.66000000003</v>
      </c>
      <c r="T8" s="234">
        <f>105000+11186.04</f>
        <v>116186.04000000001</v>
      </c>
      <c r="U8" s="235">
        <v>139789.21</v>
      </c>
      <c r="V8" s="253">
        <f t="shared" si="16"/>
        <v>-23603.169999999984</v>
      </c>
      <c r="W8" s="234">
        <f>(R8+U8)/4</f>
        <v>135618.07249999998</v>
      </c>
      <c r="X8" s="234">
        <f>W8*X15/100</f>
        <v>404.47087268470153</v>
      </c>
      <c r="Y8" s="234">
        <f>105000-11186.04</f>
        <v>93813.959999999992</v>
      </c>
      <c r="Z8" s="236">
        <f>X8+Y8+21753.15</f>
        <v>115971.58087268469</v>
      </c>
      <c r="AA8" s="235">
        <v>142227.54999999999</v>
      </c>
      <c r="AB8" s="237">
        <f t="shared" si="2"/>
        <v>-26255.9691273153</v>
      </c>
      <c r="AC8" s="234">
        <f>104743.01-21753.15+50295.38</f>
        <v>133285.24</v>
      </c>
      <c r="AD8" s="238">
        <v>152526.9</v>
      </c>
      <c r="AE8" s="247">
        <f t="shared" si="3"/>
        <v>-19241.660000000003</v>
      </c>
      <c r="AF8" s="239">
        <f>(R8+S8)/6</f>
        <v>139537.79</v>
      </c>
      <c r="AG8" s="239">
        <f t="shared" si="4"/>
        <v>458864.62</v>
      </c>
      <c r="AH8" s="242">
        <f>120000-50295.38</f>
        <v>69704.62</v>
      </c>
      <c r="AI8" s="242">
        <f>AF8*AF17/100</f>
        <v>634.67826254797819</v>
      </c>
      <c r="AJ8" s="236">
        <f>AH8+AI8+16184.54</f>
        <v>86523.838262547972</v>
      </c>
      <c r="AK8" s="240">
        <v>106409.52</v>
      </c>
      <c r="AL8" s="249">
        <f t="shared" si="5"/>
        <v>-19885.681737452032</v>
      </c>
      <c r="AM8" s="242">
        <f>(R8+S8+AK8)/7</f>
        <v>134805.18</v>
      </c>
      <c r="AN8" s="242">
        <f>AM8*AN16/100</f>
        <v>968.65069977771611</v>
      </c>
      <c r="AO8" s="242">
        <f>120000-16184.54</f>
        <v>103815.45999999999</v>
      </c>
      <c r="AP8" s="243">
        <f>AN8+AO8+4735.77</f>
        <v>109519.88069977771</v>
      </c>
      <c r="AQ8" s="244">
        <v>133753.70000000001</v>
      </c>
      <c r="AR8" s="247">
        <f t="shared" si="7"/>
        <v>-24233.819300222298</v>
      </c>
      <c r="AS8" s="246">
        <f>(R8+S8+AK8+AQ8)/8</f>
        <v>134673.745</v>
      </c>
      <c r="AT8" s="246">
        <f>AS8*AT16/100</f>
        <v>13604.194838438834</v>
      </c>
      <c r="AU8" s="242">
        <f>90000-4735.77</f>
        <v>85264.23</v>
      </c>
      <c r="AV8" s="239">
        <f>AT8+AU8+1955.16</f>
        <v>100823.58483843884</v>
      </c>
      <c r="AW8" s="244">
        <v>119547.32</v>
      </c>
      <c r="AX8" s="247">
        <f t="shared" si="8"/>
        <v>-18723.73516156117</v>
      </c>
      <c r="AY8" s="244">
        <f t="shared" si="9"/>
        <v>359710.54000000004</v>
      </c>
      <c r="AZ8" s="242">
        <f>120000-1955.16</f>
        <v>118044.84</v>
      </c>
      <c r="BA8" s="236">
        <v>57558.01</v>
      </c>
      <c r="BB8" s="236">
        <v>20000</v>
      </c>
      <c r="BC8" s="236">
        <v>37558.01</v>
      </c>
      <c r="BD8" s="236"/>
      <c r="BE8" s="248">
        <f>AZ8+BB8</f>
        <v>138044.84</v>
      </c>
      <c r="BF8" s="240">
        <v>154195.06</v>
      </c>
      <c r="BG8" s="249">
        <f t="shared" si="10"/>
        <v>-16150.220000000001</v>
      </c>
      <c r="BH8" s="242">
        <f>(R8+S8+AY8+BF8)/10</f>
        <v>135113.234</v>
      </c>
      <c r="BI8" s="242">
        <f>BH8*BJ15/100</f>
        <v>960.6993795379168</v>
      </c>
      <c r="BJ8" s="242">
        <v>80000</v>
      </c>
      <c r="BK8" s="248">
        <f>BC8+BJ8</f>
        <v>117558.01000000001</v>
      </c>
      <c r="BL8" s="248">
        <f>BI8+BK8</f>
        <v>118518.70937953793</v>
      </c>
      <c r="BM8" s="242">
        <v>2035.47</v>
      </c>
      <c r="BN8" s="248">
        <f t="shared" si="11"/>
        <v>2035.47</v>
      </c>
      <c r="BO8" s="250">
        <f t="shared" si="12"/>
        <v>274749.23937953787</v>
      </c>
      <c r="BP8" s="251">
        <f t="shared" si="13"/>
        <v>1471686.519379538</v>
      </c>
      <c r="BQ8" s="48">
        <f t="shared" si="14"/>
        <v>1351132.34</v>
      </c>
      <c r="BR8" s="94"/>
      <c r="BS8" s="96">
        <f>+BI8</f>
        <v>960.6993795379168</v>
      </c>
    </row>
    <row r="9" spans="1:74" s="77" customFormat="1" x14ac:dyDescent="0.2">
      <c r="A9" s="226">
        <v>5</v>
      </c>
      <c r="B9" s="227" t="s">
        <v>123</v>
      </c>
      <c r="C9" s="228">
        <v>315286.38</v>
      </c>
      <c r="D9" s="113">
        <v>37000</v>
      </c>
      <c r="E9" s="114">
        <v>34339.24</v>
      </c>
      <c r="F9" s="58">
        <f t="shared" si="0"/>
        <v>2660.760000000002</v>
      </c>
      <c r="G9" s="115">
        <v>0</v>
      </c>
      <c r="H9" s="113">
        <v>36476.339999999997</v>
      </c>
      <c r="I9" s="113">
        <f>G9*G15/100</f>
        <v>0</v>
      </c>
      <c r="J9" s="229">
        <f>H9+I9</f>
        <v>36476.339999999997</v>
      </c>
      <c r="K9" s="258">
        <v>36212.15</v>
      </c>
      <c r="L9" s="58">
        <f t="shared" si="17"/>
        <v>264.18999999999505</v>
      </c>
      <c r="M9" s="113">
        <v>38808</v>
      </c>
      <c r="N9" s="258">
        <v>38956.76</v>
      </c>
      <c r="O9" s="259">
        <f t="shared" si="1"/>
        <v>-148.76000000000204</v>
      </c>
      <c r="P9" s="113"/>
      <c r="Q9" s="113"/>
      <c r="R9" s="233">
        <f t="shared" si="18"/>
        <v>109508.15</v>
      </c>
      <c r="S9" s="233">
        <f t="shared" si="15"/>
        <v>81302</v>
      </c>
      <c r="T9" s="234">
        <v>27000</v>
      </c>
      <c r="U9" s="235">
        <v>27011.53</v>
      </c>
      <c r="V9" s="253">
        <f t="shared" si="16"/>
        <v>-11.529999999998836</v>
      </c>
      <c r="W9" s="234">
        <f>(R9+U9)/4</f>
        <v>34129.919999999998</v>
      </c>
      <c r="X9" s="234">
        <f>W9*X15/100</f>
        <v>101.78996259557553</v>
      </c>
      <c r="Y9" s="234">
        <v>27000</v>
      </c>
      <c r="Z9" s="236">
        <f>X9+Y9</f>
        <v>27101.789962595576</v>
      </c>
      <c r="AA9" s="235">
        <v>26872.77</v>
      </c>
      <c r="AB9" s="234">
        <f t="shared" si="2"/>
        <v>229.01996259557563</v>
      </c>
      <c r="AC9" s="234">
        <f>27302.17+115.53</f>
        <v>27417.699999999997</v>
      </c>
      <c r="AD9" s="238">
        <v>27417.7</v>
      </c>
      <c r="AE9" s="239">
        <f t="shared" si="3"/>
        <v>0</v>
      </c>
      <c r="AF9" s="239"/>
      <c r="AG9" s="239">
        <f t="shared" si="4"/>
        <v>172580.07</v>
      </c>
      <c r="AH9" s="242">
        <f>37000-115.53</f>
        <v>36884.47</v>
      </c>
      <c r="AI9" s="242"/>
      <c r="AJ9" s="236">
        <f>AH9+AI9</f>
        <v>36884.47</v>
      </c>
      <c r="AK9" s="240">
        <v>36872.61</v>
      </c>
      <c r="AL9" s="241">
        <f t="shared" si="5"/>
        <v>11.860000000000582</v>
      </c>
      <c r="AM9" s="242"/>
      <c r="AN9" s="242"/>
      <c r="AO9" s="242">
        <v>37000</v>
      </c>
      <c r="AP9" s="243">
        <v>37000</v>
      </c>
      <c r="AQ9" s="244">
        <v>33489.910000000003</v>
      </c>
      <c r="AR9" s="245">
        <f t="shared" si="7"/>
        <v>3510.0899999999965</v>
      </c>
      <c r="AS9" s="246"/>
      <c r="AT9" s="246"/>
      <c r="AU9" s="242">
        <v>21880</v>
      </c>
      <c r="AV9" s="239">
        <f>AT9+AU9+1019.82</f>
        <v>22899.82</v>
      </c>
      <c r="AW9" s="244">
        <v>23030.06</v>
      </c>
      <c r="AX9" s="247">
        <f t="shared" si="8"/>
        <v>-130.2400000000016</v>
      </c>
      <c r="AY9" s="244">
        <f t="shared" si="9"/>
        <v>93392.58</v>
      </c>
      <c r="AZ9" s="242">
        <f>37500-1019.82</f>
        <v>36480.18</v>
      </c>
      <c r="BA9" s="236">
        <v>18895.830000000002</v>
      </c>
      <c r="BB9" s="236"/>
      <c r="BC9" s="236">
        <v>8895.83</v>
      </c>
      <c r="BD9" s="236">
        <v>10000</v>
      </c>
      <c r="BE9" s="248">
        <f>AZ9+BB9</f>
        <v>36480.18</v>
      </c>
      <c r="BF9" s="240">
        <v>33343.089999999997</v>
      </c>
      <c r="BG9" s="242">
        <f t="shared" si="10"/>
        <v>3137.0900000000038</v>
      </c>
      <c r="BH9" s="242"/>
      <c r="BI9" s="242"/>
      <c r="BJ9" s="242">
        <v>37500</v>
      </c>
      <c r="BK9" s="248">
        <f>BC9+BJ9</f>
        <v>46395.83</v>
      </c>
      <c r="BL9" s="248">
        <f>BK9</f>
        <v>46395.83</v>
      </c>
      <c r="BM9" s="242">
        <v>2835.42</v>
      </c>
      <c r="BN9" s="248">
        <f t="shared" si="11"/>
        <v>12835.42</v>
      </c>
      <c r="BO9" s="250">
        <f t="shared" si="12"/>
        <v>92574.34</v>
      </c>
      <c r="BP9" s="251">
        <f t="shared" si="13"/>
        <v>376777.06999999995</v>
      </c>
      <c r="BQ9" s="48">
        <f t="shared" si="14"/>
        <v>317545.82000000007</v>
      </c>
      <c r="BR9" s="94"/>
      <c r="BS9" s="96">
        <f>-BG9</f>
        <v>-3137.0900000000038</v>
      </c>
    </row>
    <row r="10" spans="1:74" s="77" customFormat="1" ht="26.25" thickBot="1" x14ac:dyDescent="0.25">
      <c r="A10" s="226">
        <v>6</v>
      </c>
      <c r="B10" s="260" t="s">
        <v>124</v>
      </c>
      <c r="C10" s="261">
        <v>719968.06</v>
      </c>
      <c r="D10" s="126">
        <v>85000</v>
      </c>
      <c r="E10" s="262">
        <v>80779.070000000007</v>
      </c>
      <c r="F10" s="58">
        <f t="shared" si="0"/>
        <v>4220.929999999993</v>
      </c>
      <c r="G10" s="115">
        <v>0</v>
      </c>
      <c r="H10" s="126">
        <v>83442.320000000007</v>
      </c>
      <c r="I10" s="126">
        <v>0</v>
      </c>
      <c r="J10" s="229">
        <f>H10+I10+42193.58</f>
        <v>125635.90000000001</v>
      </c>
      <c r="K10" s="263">
        <v>125957.99</v>
      </c>
      <c r="L10" s="231">
        <f t="shared" si="17"/>
        <v>-322.08999999999651</v>
      </c>
      <c r="M10" s="126">
        <f>89381.31-42193.58+6070.19</f>
        <v>53257.919999999998</v>
      </c>
      <c r="N10" s="263">
        <v>53504.88</v>
      </c>
      <c r="O10" s="231">
        <f t="shared" si="1"/>
        <v>-246.95999999999913</v>
      </c>
      <c r="P10" s="115"/>
      <c r="Q10" s="115"/>
      <c r="R10" s="233">
        <f t="shared" si="18"/>
        <v>260241.94</v>
      </c>
      <c r="S10" s="233">
        <f t="shared" si="15"/>
        <v>238040.72</v>
      </c>
      <c r="T10" s="234">
        <f>82000-6070.19</f>
        <v>75929.81</v>
      </c>
      <c r="U10" s="235">
        <v>75378.179999999993</v>
      </c>
      <c r="V10" s="234">
        <f t="shared" si="16"/>
        <v>551.63000000000466</v>
      </c>
      <c r="W10" s="234"/>
      <c r="X10" s="234"/>
      <c r="Y10" s="234">
        <v>82000</v>
      </c>
      <c r="Z10" s="236">
        <f>X10+Y10+5597.1</f>
        <v>87597.1</v>
      </c>
      <c r="AA10" s="235">
        <v>87597.1</v>
      </c>
      <c r="AB10" s="234">
        <f t="shared" si="2"/>
        <v>0</v>
      </c>
      <c r="AC10" s="234">
        <f>81697.3-5597.1</f>
        <v>76100.2</v>
      </c>
      <c r="AD10" s="238">
        <v>75065.440000000002</v>
      </c>
      <c r="AE10" s="234">
        <f t="shared" si="3"/>
        <v>1034.7599999999948</v>
      </c>
      <c r="AF10" s="234"/>
      <c r="AG10" s="239">
        <f t="shared" si="4"/>
        <v>372208.08</v>
      </c>
      <c r="AH10" s="234">
        <v>87000</v>
      </c>
      <c r="AI10" s="234"/>
      <c r="AJ10" s="236">
        <f>AH10+AI10+1333.31</f>
        <v>88333.31</v>
      </c>
      <c r="AK10" s="240">
        <v>88799.72</v>
      </c>
      <c r="AL10" s="249">
        <f t="shared" si="5"/>
        <v>-466.41000000000349</v>
      </c>
      <c r="AM10" s="242">
        <f>(R10+S10+AK10)/7</f>
        <v>83868.911428571431</v>
      </c>
      <c r="AN10" s="242">
        <f>AM10*AN16/100</f>
        <v>602.64508934212324</v>
      </c>
      <c r="AO10" s="234">
        <f>87000-1333.31</f>
        <v>85666.69</v>
      </c>
      <c r="AP10" s="243">
        <f t="shared" si="6"/>
        <v>86269.33508934213</v>
      </c>
      <c r="AQ10" s="244">
        <v>77149.429999999993</v>
      </c>
      <c r="AR10" s="245">
        <f t="shared" si="7"/>
        <v>9119.9050893421372</v>
      </c>
      <c r="AS10" s="246"/>
      <c r="AT10" s="246"/>
      <c r="AU10" s="234">
        <v>60000</v>
      </c>
      <c r="AV10" s="239">
        <f>AT10+AU10+18874.39</f>
        <v>78874.39</v>
      </c>
      <c r="AW10" s="244">
        <v>79534.22</v>
      </c>
      <c r="AX10" s="247">
        <f t="shared" si="8"/>
        <v>-659.83000000000175</v>
      </c>
      <c r="AY10" s="244">
        <f t="shared" si="9"/>
        <v>245483.37</v>
      </c>
      <c r="AZ10" s="234">
        <f>87000-18874.39</f>
        <v>68125.61</v>
      </c>
      <c r="BA10" s="236">
        <v>42577.16</v>
      </c>
      <c r="BB10" s="236">
        <v>7000</v>
      </c>
      <c r="BC10" s="236">
        <v>8000</v>
      </c>
      <c r="BD10" s="236">
        <v>27577.16</v>
      </c>
      <c r="BE10" s="248">
        <f>AZ10+BB10+1437.16</f>
        <v>76562.77</v>
      </c>
      <c r="BF10" s="240">
        <v>77692.69</v>
      </c>
      <c r="BG10" s="249">
        <f t="shared" si="10"/>
        <v>-1129.9199999999983</v>
      </c>
      <c r="BH10" s="242">
        <f>(R10+S10+AY10+BF10)/10</f>
        <v>82145.872000000003</v>
      </c>
      <c r="BI10" s="242">
        <f>BH10*BJ15/100</f>
        <v>584.08407471026226</v>
      </c>
      <c r="BJ10" s="234">
        <v>69000</v>
      </c>
      <c r="BK10" s="248">
        <f>BC10+BJ10-1437.16</f>
        <v>75562.84</v>
      </c>
      <c r="BL10" s="248">
        <f>BI10+BK10</f>
        <v>76146.924074710259</v>
      </c>
      <c r="BM10" s="234">
        <v>2415.7800000000002</v>
      </c>
      <c r="BN10" s="248">
        <f t="shared" si="11"/>
        <v>29992.94</v>
      </c>
      <c r="BO10" s="250">
        <f t="shared" si="12"/>
        <v>183832.55407471026</v>
      </c>
      <c r="BP10" s="251">
        <f t="shared" si="13"/>
        <v>927598.58407471026</v>
      </c>
      <c r="BQ10" s="48">
        <f t="shared" si="14"/>
        <v>821458.72</v>
      </c>
      <c r="BR10" s="94"/>
      <c r="BS10" s="96">
        <f>+BI10</f>
        <v>584.08407471026226</v>
      </c>
    </row>
    <row r="11" spans="1:74" s="272" customFormat="1" ht="13.5" thickBot="1" x14ac:dyDescent="0.25">
      <c r="A11" s="264"/>
      <c r="B11" s="265" t="s">
        <v>125</v>
      </c>
      <c r="C11" s="266">
        <f>SUM(C5:C10)</f>
        <v>4147276.16</v>
      </c>
      <c r="D11" s="266">
        <f>SUM(D5:D10)</f>
        <v>411671.05</v>
      </c>
      <c r="E11" s="266">
        <f>SUM(E5:E10)</f>
        <v>487711.22000000003</v>
      </c>
      <c r="F11" s="266">
        <f>F5+F9+F10</f>
        <v>10242.419999999991</v>
      </c>
      <c r="G11" s="266">
        <f t="shared" ref="G11:U11" si="19">SUM(G5:G10)</f>
        <v>215759.72615384616</v>
      </c>
      <c r="H11" s="266">
        <f t="shared" si="19"/>
        <v>348328.95</v>
      </c>
      <c r="I11" s="266">
        <f t="shared" si="19"/>
        <v>10242.419999999991</v>
      </c>
      <c r="J11" s="266">
        <f t="shared" si="19"/>
        <v>408468.31999999995</v>
      </c>
      <c r="K11" s="266">
        <f t="shared" si="19"/>
        <v>482128.28</v>
      </c>
      <c r="L11" s="266">
        <f t="shared" si="19"/>
        <v>-73659.960000000021</v>
      </c>
      <c r="M11" s="266">
        <f t="shared" si="19"/>
        <v>372437.06</v>
      </c>
      <c r="N11" s="266">
        <f t="shared" si="19"/>
        <v>458418.74</v>
      </c>
      <c r="O11" s="266">
        <f t="shared" si="19"/>
        <v>-85981.68</v>
      </c>
      <c r="P11" s="266">
        <f t="shared" si="19"/>
        <v>0</v>
      </c>
      <c r="Q11" s="266">
        <f t="shared" si="19"/>
        <v>0</v>
      </c>
      <c r="R11" s="266">
        <f t="shared" si="19"/>
        <v>1428258.2399999998</v>
      </c>
      <c r="S11" s="266">
        <f t="shared" si="19"/>
        <v>1400595.43</v>
      </c>
      <c r="T11" s="266">
        <f t="shared" si="19"/>
        <v>373650.08</v>
      </c>
      <c r="U11" s="266">
        <f t="shared" si="19"/>
        <v>444896.31</v>
      </c>
      <c r="V11" s="266">
        <f>V5+V10</f>
        <v>655.06999999999243</v>
      </c>
      <c r="W11" s="266">
        <f>SUM(W5:W10)</f>
        <v>308225.57999999996</v>
      </c>
      <c r="X11" s="267">
        <f>SUM(X5:X10)</f>
        <v>919.25999999998737</v>
      </c>
      <c r="Y11" s="266">
        <f>SUM(Y5:Y10)</f>
        <v>356015.91000000003</v>
      </c>
      <c r="Z11" s="266">
        <f>SUM(Z5:Z10)</f>
        <v>401520.36</v>
      </c>
      <c r="AA11" s="266">
        <f>SUM(AA5:AA10)</f>
        <v>500433.22</v>
      </c>
      <c r="AB11" s="266">
        <f>SUM(AB9:AB10)</f>
        <v>229.01996259557563</v>
      </c>
      <c r="AC11" s="266">
        <f>SUM(AC5:AC10)</f>
        <v>373884.14</v>
      </c>
      <c r="AD11" s="266">
        <f>AD5+AD6+AD7+AD8+AD9+AD10</f>
        <v>455265.9</v>
      </c>
      <c r="AE11" s="266">
        <f>AE5+AE10</f>
        <v>1048.9300000000003</v>
      </c>
      <c r="AF11" s="266">
        <f>SUM(AF5:AF10)</f>
        <v>280964.89833333332</v>
      </c>
      <c r="AG11" s="266">
        <f>SUM(AG5:AG10)</f>
        <v>1706928.32</v>
      </c>
      <c r="AH11" s="266">
        <f>AH5+AH6+AH7+AH8+AH9+AH10</f>
        <v>360530.67000000004</v>
      </c>
      <c r="AI11" s="268">
        <f>AI5+AI6+AI7+AI8+AI9+AI10</f>
        <v>1277.9499625955759</v>
      </c>
      <c r="AJ11" s="266">
        <f>AJ5+AJ6+AJ7+AJ8+AJ9+AJ10</f>
        <v>383630.34996259556</v>
      </c>
      <c r="AK11" s="266">
        <f>SUM(AK5:AK10)</f>
        <v>462001.64</v>
      </c>
      <c r="AL11" s="269">
        <f>AL5+AL9</f>
        <v>2604.0399999999936</v>
      </c>
      <c r="AM11" s="270">
        <f>AM5+AM6+AM7+AM8+AM9+AM10</f>
        <v>362399.03714285715</v>
      </c>
      <c r="AN11" s="269">
        <f>AN5+AN6+AN7+AN8+AN10</f>
        <v>2604.0399999999931</v>
      </c>
      <c r="AO11" s="266">
        <f>AO5+AO6+AO7+AO8+AO9+AO10</f>
        <v>389178.26999999996</v>
      </c>
      <c r="AP11" s="266">
        <f>AP5+AP6+AP7+AP8+AP9+AP10</f>
        <v>400018.05</v>
      </c>
      <c r="AQ11" s="271">
        <f>AQ5+AQ6+AQ7+AQ8+AQ9+AQ10</f>
        <v>460052.10000000003</v>
      </c>
      <c r="AR11" s="269">
        <f>AR5+AR9+AR10</f>
        <v>23755.885089342133</v>
      </c>
      <c r="AS11" s="271">
        <f>AS5+AS6+AS7+AS8+AS9+AS10</f>
        <v>235169.67</v>
      </c>
      <c r="AT11" s="269">
        <f>AT5+AT6+AT7+AT8+AT9+AT10</f>
        <v>23755.885089342133</v>
      </c>
      <c r="AU11" s="266">
        <f>AU5+AU6+AU7+AU8+AU9+AU10</f>
        <v>293644.26</v>
      </c>
      <c r="AV11" s="266">
        <f>SUM(AV5:AV10)</f>
        <v>363445.02508934215</v>
      </c>
      <c r="AW11" s="266">
        <f>AW5+AW6+AW7+AW8+AW9+AW10</f>
        <v>454526.86</v>
      </c>
      <c r="AX11" s="266"/>
      <c r="AY11" s="266">
        <f>SUM(AY5:AY10)</f>
        <v>1376580.6</v>
      </c>
      <c r="AZ11" s="266">
        <f t="shared" ref="AZ11:BO11" si="20">AZ5+AZ6+AZ7+AZ8+AZ9+AZ10</f>
        <v>365455.12</v>
      </c>
      <c r="BA11" s="266">
        <f t="shared" si="20"/>
        <v>198000.00000000003</v>
      </c>
      <c r="BB11" s="266">
        <f t="shared" si="20"/>
        <v>27000</v>
      </c>
      <c r="BC11" s="266">
        <f t="shared" si="20"/>
        <v>133422.84000000003</v>
      </c>
      <c r="BD11" s="266">
        <f t="shared" si="20"/>
        <v>37577.160000000003</v>
      </c>
      <c r="BE11" s="266">
        <f t="shared" si="20"/>
        <v>414208.94</v>
      </c>
      <c r="BF11" s="266">
        <f t="shared" si="20"/>
        <v>524130.37999999995</v>
      </c>
      <c r="BG11" s="269">
        <f>BG9</f>
        <v>3137.0900000000038</v>
      </c>
      <c r="BH11" s="266">
        <f>BH5+BH6+BH7+BH8+BH9+BH10</f>
        <v>441201.88299999991</v>
      </c>
      <c r="BI11" s="269">
        <f>BI5+BI6+BI7+BI8+BI9+BI10</f>
        <v>3137.0900000000038</v>
      </c>
      <c r="BJ11" s="266">
        <f t="shared" si="20"/>
        <v>283500</v>
      </c>
      <c r="BK11" s="266">
        <f t="shared" si="20"/>
        <v>395169.02</v>
      </c>
      <c r="BL11" s="266">
        <f t="shared" si="20"/>
        <v>398306.1100000001</v>
      </c>
      <c r="BM11" s="266">
        <f t="shared" si="20"/>
        <v>14620</v>
      </c>
      <c r="BN11" s="266">
        <f t="shared" si="20"/>
        <v>52197.16</v>
      </c>
      <c r="BO11" s="266">
        <f t="shared" si="20"/>
        <v>974633.64999999991</v>
      </c>
      <c r="BP11" s="266">
        <f>SUM(BP5:BP10)</f>
        <v>5180067.92</v>
      </c>
      <c r="BQ11" s="266">
        <f>SUM(BQ5:BQ10)</f>
        <v>4729564.6500000004</v>
      </c>
      <c r="BR11" s="266">
        <f>SUM(BR5:BR10)</f>
        <v>0</v>
      </c>
      <c r="BS11" s="266">
        <f>SUM(BS5:BS10)</f>
        <v>0</v>
      </c>
      <c r="BV11" s="272" t="s">
        <v>126</v>
      </c>
    </row>
    <row r="12" spans="1:74" s="77" customFormat="1" ht="15" thickBot="1" x14ac:dyDescent="0.25">
      <c r="A12" s="273">
        <v>7</v>
      </c>
      <c r="B12" s="274" t="s">
        <v>127</v>
      </c>
      <c r="C12" s="275">
        <v>184140</v>
      </c>
      <c r="D12" s="126">
        <v>10000</v>
      </c>
      <c r="E12" s="262">
        <v>14000</v>
      </c>
      <c r="F12" s="252">
        <f>D12-E12</f>
        <v>-4000</v>
      </c>
      <c r="G12" s="126">
        <v>0</v>
      </c>
      <c r="H12" s="126">
        <v>10000</v>
      </c>
      <c r="I12" s="126">
        <v>0</v>
      </c>
      <c r="J12" s="229">
        <f>H12+I12</f>
        <v>10000</v>
      </c>
      <c r="K12" s="263">
        <v>14760</v>
      </c>
      <c r="L12" s="231">
        <f t="shared" si="17"/>
        <v>-4760</v>
      </c>
      <c r="M12" s="126">
        <v>10000</v>
      </c>
      <c r="N12" s="263">
        <v>19080</v>
      </c>
      <c r="O12" s="232">
        <f>M12-N12</f>
        <v>-9080</v>
      </c>
      <c r="P12" s="115">
        <v>0</v>
      </c>
      <c r="Q12" s="115">
        <v>0</v>
      </c>
      <c r="R12" s="233">
        <f t="shared" si="18"/>
        <v>47840</v>
      </c>
      <c r="S12" s="233">
        <f t="shared" si="15"/>
        <v>48760</v>
      </c>
      <c r="T12" s="234">
        <v>10000</v>
      </c>
      <c r="U12" s="235">
        <v>14920</v>
      </c>
      <c r="V12" s="253">
        <f t="shared" si="16"/>
        <v>-4920</v>
      </c>
      <c r="W12" s="234"/>
      <c r="X12" s="234"/>
      <c r="Y12" s="234">
        <v>10000</v>
      </c>
      <c r="Z12" s="236">
        <f>X12+Y12</f>
        <v>10000</v>
      </c>
      <c r="AA12" s="235">
        <v>20760</v>
      </c>
      <c r="AB12" s="237">
        <f>Z12-AA12</f>
        <v>-10760</v>
      </c>
      <c r="AC12" s="234">
        <v>10000</v>
      </c>
      <c r="AD12" s="238">
        <v>13080</v>
      </c>
      <c r="AE12" s="247">
        <f>AC12-AD12</f>
        <v>-3080</v>
      </c>
      <c r="AF12" s="239"/>
      <c r="AG12" s="242">
        <f>AH12+AO12+AU12+AZ12+BJ12+BM12</f>
        <v>50000</v>
      </c>
      <c r="AH12" s="242">
        <v>11000</v>
      </c>
      <c r="AI12" s="242"/>
      <c r="AJ12" s="236">
        <f>AH12+AI12</f>
        <v>11000</v>
      </c>
      <c r="AK12" s="240">
        <v>14254.8</v>
      </c>
      <c r="AL12" s="249">
        <f>AJ12-AK12</f>
        <v>-3254.7999999999993</v>
      </c>
      <c r="AM12" s="242"/>
      <c r="AN12" s="242"/>
      <c r="AO12" s="242">
        <v>11000</v>
      </c>
      <c r="AP12" s="243">
        <f>AN12+AO12</f>
        <v>11000</v>
      </c>
      <c r="AQ12" s="244">
        <v>15771.2</v>
      </c>
      <c r="AR12" s="247">
        <f>AP12-AQ12</f>
        <v>-4771.2000000000007</v>
      </c>
      <c r="AS12" s="246"/>
      <c r="AT12" s="246"/>
      <c r="AU12" s="242">
        <v>11000</v>
      </c>
      <c r="AV12" s="234">
        <f>AT12+AU12</f>
        <v>11000</v>
      </c>
      <c r="AW12" s="240">
        <v>20501.8</v>
      </c>
      <c r="AX12" s="249">
        <f>AV12-AW12</f>
        <v>-9501.7999999999993</v>
      </c>
      <c r="AY12" s="244">
        <f>AK12+AQ12+AW12</f>
        <v>50527.8</v>
      </c>
      <c r="AZ12" s="242">
        <v>11000</v>
      </c>
      <c r="BA12" s="236">
        <v>5000</v>
      </c>
      <c r="BB12" s="236"/>
      <c r="BC12" s="236">
        <v>5000</v>
      </c>
      <c r="BD12" s="236"/>
      <c r="BE12" s="248">
        <f>AZ12+BB12</f>
        <v>11000</v>
      </c>
      <c r="BF12" s="240">
        <v>19905.2</v>
      </c>
      <c r="BG12" s="249">
        <f>BE12-BF12</f>
        <v>-8905.2000000000007</v>
      </c>
      <c r="BH12" s="242"/>
      <c r="BI12" s="242"/>
      <c r="BJ12" s="242">
        <v>5500</v>
      </c>
      <c r="BK12" s="248">
        <f>BC12+BJ12</f>
        <v>10500</v>
      </c>
      <c r="BL12" s="248">
        <f>BK12</f>
        <v>10500</v>
      </c>
      <c r="BM12" s="242">
        <v>500</v>
      </c>
      <c r="BN12" s="248">
        <f>BD12+BM12</f>
        <v>500</v>
      </c>
      <c r="BO12" s="250">
        <f>BF12+BK12+BN12</f>
        <v>30905.200000000001</v>
      </c>
      <c r="BP12" s="251">
        <f>R12+S12+AY12+BO12</f>
        <v>178033</v>
      </c>
      <c r="BQ12" s="48">
        <f>R12+S12+AY12+BF12</f>
        <v>167033</v>
      </c>
      <c r="BR12" s="94">
        <v>0</v>
      </c>
      <c r="BS12" s="96"/>
    </row>
    <row r="13" spans="1:74" s="281" customFormat="1" ht="15" thickBot="1" x14ac:dyDescent="0.25">
      <c r="A13" s="276"/>
      <c r="B13" s="277" t="s">
        <v>128</v>
      </c>
      <c r="C13" s="270">
        <f>C12</f>
        <v>184140</v>
      </c>
      <c r="D13" s="270">
        <f>D12</f>
        <v>10000</v>
      </c>
      <c r="E13" s="270">
        <f>E12</f>
        <v>14000</v>
      </c>
      <c r="F13" s="270">
        <v>0</v>
      </c>
      <c r="G13" s="270">
        <f t="shared" ref="G13:U13" si="21">G12</f>
        <v>0</v>
      </c>
      <c r="H13" s="270">
        <f t="shared" si="21"/>
        <v>10000</v>
      </c>
      <c r="I13" s="270">
        <f t="shared" si="21"/>
        <v>0</v>
      </c>
      <c r="J13" s="270">
        <f t="shared" si="21"/>
        <v>10000</v>
      </c>
      <c r="K13" s="270">
        <f t="shared" si="21"/>
        <v>14760</v>
      </c>
      <c r="L13" s="270">
        <f t="shared" si="21"/>
        <v>-4760</v>
      </c>
      <c r="M13" s="270">
        <f t="shared" si="21"/>
        <v>10000</v>
      </c>
      <c r="N13" s="270">
        <f t="shared" si="21"/>
        <v>19080</v>
      </c>
      <c r="O13" s="270">
        <f t="shared" si="21"/>
        <v>-9080</v>
      </c>
      <c r="P13" s="270">
        <f t="shared" si="21"/>
        <v>0</v>
      </c>
      <c r="Q13" s="270">
        <f t="shared" si="21"/>
        <v>0</v>
      </c>
      <c r="R13" s="270">
        <f t="shared" si="21"/>
        <v>47840</v>
      </c>
      <c r="S13" s="270">
        <f t="shared" si="21"/>
        <v>48760</v>
      </c>
      <c r="T13" s="270">
        <f t="shared" si="21"/>
        <v>10000</v>
      </c>
      <c r="U13" s="270">
        <f t="shared" si="21"/>
        <v>14920</v>
      </c>
      <c r="V13" s="270"/>
      <c r="W13" s="270"/>
      <c r="X13" s="270"/>
      <c r="Y13" s="270">
        <f>Y12</f>
        <v>10000</v>
      </c>
      <c r="Z13" s="270">
        <f>Z12</f>
        <v>10000</v>
      </c>
      <c r="AA13" s="270">
        <f>AA12</f>
        <v>20760</v>
      </c>
      <c r="AB13" s="270"/>
      <c r="AC13" s="270">
        <f>AC12</f>
        <v>10000</v>
      </c>
      <c r="AD13" s="270">
        <v>13080</v>
      </c>
      <c r="AE13" s="278"/>
      <c r="AF13" s="279"/>
      <c r="AG13" s="280">
        <v>50000</v>
      </c>
      <c r="AH13" s="270">
        <v>11000</v>
      </c>
      <c r="AI13" s="270">
        <v>11000</v>
      </c>
      <c r="AJ13" s="270">
        <v>11000</v>
      </c>
      <c r="AK13" s="270">
        <f>AK12</f>
        <v>14254.8</v>
      </c>
      <c r="AL13" s="270">
        <v>0</v>
      </c>
      <c r="AM13" s="270">
        <v>11003</v>
      </c>
      <c r="AN13" s="270"/>
      <c r="AO13" s="270">
        <v>11000</v>
      </c>
      <c r="AP13" s="270">
        <v>11000</v>
      </c>
      <c r="AQ13" s="270">
        <f>AQ12</f>
        <v>15771.2</v>
      </c>
      <c r="AR13" s="270">
        <v>0</v>
      </c>
      <c r="AS13" s="278"/>
      <c r="AT13" s="278"/>
      <c r="AU13" s="270">
        <v>11000</v>
      </c>
      <c r="AV13" s="270">
        <v>11000</v>
      </c>
      <c r="AW13" s="270">
        <v>20501.8</v>
      </c>
      <c r="AX13" s="270"/>
      <c r="AY13" s="270">
        <f>AY12</f>
        <v>50527.8</v>
      </c>
      <c r="AZ13" s="270">
        <v>11000</v>
      </c>
      <c r="BA13" s="270">
        <f>BA12</f>
        <v>5000</v>
      </c>
      <c r="BB13" s="270">
        <f t="shared" ref="BB13:BO13" si="22">BB12</f>
        <v>0</v>
      </c>
      <c r="BC13" s="270">
        <f t="shared" si="22"/>
        <v>5000</v>
      </c>
      <c r="BD13" s="270">
        <f t="shared" si="22"/>
        <v>0</v>
      </c>
      <c r="BE13" s="270">
        <f t="shared" si="22"/>
        <v>11000</v>
      </c>
      <c r="BF13" s="270">
        <f>BF12</f>
        <v>19905.2</v>
      </c>
      <c r="BG13" s="270"/>
      <c r="BH13" s="270"/>
      <c r="BI13" s="270"/>
      <c r="BJ13" s="270">
        <f t="shared" si="22"/>
        <v>5500</v>
      </c>
      <c r="BK13" s="270">
        <f t="shared" si="22"/>
        <v>10500</v>
      </c>
      <c r="BL13" s="270">
        <f t="shared" si="22"/>
        <v>10500</v>
      </c>
      <c r="BM13" s="270">
        <f t="shared" si="22"/>
        <v>500</v>
      </c>
      <c r="BN13" s="270">
        <f t="shared" si="22"/>
        <v>500</v>
      </c>
      <c r="BO13" s="270">
        <f t="shared" si="22"/>
        <v>30905.200000000001</v>
      </c>
      <c r="BP13" s="270">
        <f>BP12</f>
        <v>178033</v>
      </c>
      <c r="BQ13" s="270">
        <f>BQ12</f>
        <v>167033</v>
      </c>
      <c r="BR13" s="270">
        <f>BR12</f>
        <v>0</v>
      </c>
      <c r="BS13" s="96"/>
    </row>
    <row r="14" spans="1:74" s="292" customFormat="1" ht="15" thickBot="1" x14ac:dyDescent="0.25">
      <c r="A14" s="282"/>
      <c r="B14" s="283" t="s">
        <v>129</v>
      </c>
      <c r="C14" s="284">
        <f t="shared" ref="C14:V14" si="23">C11+C13</f>
        <v>4331416.16</v>
      </c>
      <c r="D14" s="284">
        <f t="shared" si="23"/>
        <v>421671.05</v>
      </c>
      <c r="E14" s="284">
        <f t="shared" si="23"/>
        <v>501711.22000000003</v>
      </c>
      <c r="F14" s="285">
        <f t="shared" si="23"/>
        <v>10242.419999999991</v>
      </c>
      <c r="G14" s="284">
        <f t="shared" si="23"/>
        <v>215759.72615384616</v>
      </c>
      <c r="H14" s="284">
        <f t="shared" si="23"/>
        <v>358328.95</v>
      </c>
      <c r="I14" s="285">
        <f t="shared" si="23"/>
        <v>10242.419999999991</v>
      </c>
      <c r="J14" s="284">
        <f t="shared" si="23"/>
        <v>418468.31999999995</v>
      </c>
      <c r="K14" s="284">
        <f t="shared" si="23"/>
        <v>496888.28</v>
      </c>
      <c r="L14" s="284">
        <f t="shared" si="23"/>
        <v>-78419.960000000021</v>
      </c>
      <c r="M14" s="284">
        <f t="shared" si="23"/>
        <v>382437.06</v>
      </c>
      <c r="N14" s="284">
        <f t="shared" si="23"/>
        <v>477498.74</v>
      </c>
      <c r="O14" s="284">
        <f t="shared" si="23"/>
        <v>-95061.68</v>
      </c>
      <c r="P14" s="284">
        <f t="shared" si="23"/>
        <v>0</v>
      </c>
      <c r="Q14" s="284">
        <f t="shared" si="23"/>
        <v>0</v>
      </c>
      <c r="R14" s="284">
        <f t="shared" si="23"/>
        <v>1476098.2399999998</v>
      </c>
      <c r="S14" s="284">
        <f t="shared" si="23"/>
        <v>1449355.43</v>
      </c>
      <c r="T14" s="284">
        <f t="shared" si="23"/>
        <v>383650.08</v>
      </c>
      <c r="U14" s="284">
        <f t="shared" si="23"/>
        <v>459816.31</v>
      </c>
      <c r="V14" s="286">
        <f t="shared" si="23"/>
        <v>655.06999999999243</v>
      </c>
      <c r="W14" s="284"/>
      <c r="X14" s="284"/>
      <c r="Y14" s="284">
        <f>Y11+Y13</f>
        <v>366015.91000000003</v>
      </c>
      <c r="Z14" s="284">
        <f>Z11+Z13</f>
        <v>411520.36</v>
      </c>
      <c r="AA14" s="284">
        <f>AA11+AA13</f>
        <v>521193.22</v>
      </c>
      <c r="AB14" s="287">
        <f>AB11+AB13</f>
        <v>229.01996259557563</v>
      </c>
      <c r="AC14" s="284">
        <f>AC11+AC13</f>
        <v>383884.14</v>
      </c>
      <c r="AD14" s="284">
        <f>AD11+AD12</f>
        <v>468345.9</v>
      </c>
      <c r="AE14" s="286">
        <f>AE5+AE10</f>
        <v>1048.9300000000003</v>
      </c>
      <c r="AF14" s="288"/>
      <c r="AG14" s="284">
        <f t="shared" ref="AG14:AR14" si="24">AG11+AG13</f>
        <v>1756928.32</v>
      </c>
      <c r="AH14" s="284">
        <f t="shared" si="24"/>
        <v>371530.67000000004</v>
      </c>
      <c r="AI14" s="284">
        <f t="shared" si="24"/>
        <v>12277.949962595576</v>
      </c>
      <c r="AJ14" s="284">
        <f t="shared" si="24"/>
        <v>394630.34996259556</v>
      </c>
      <c r="AK14" s="284">
        <f t="shared" si="24"/>
        <v>476256.44</v>
      </c>
      <c r="AL14" s="289">
        <f t="shared" si="24"/>
        <v>2604.0399999999936</v>
      </c>
      <c r="AM14" s="284">
        <f t="shared" si="24"/>
        <v>373402.03714285715</v>
      </c>
      <c r="AN14" s="289">
        <f t="shared" si="24"/>
        <v>2604.0399999999931</v>
      </c>
      <c r="AO14" s="284">
        <f t="shared" si="24"/>
        <v>400178.26999999996</v>
      </c>
      <c r="AP14" s="284">
        <f t="shared" si="24"/>
        <v>411018.05</v>
      </c>
      <c r="AQ14" s="284">
        <f t="shared" si="24"/>
        <v>475823.30000000005</v>
      </c>
      <c r="AR14" s="289">
        <f t="shared" si="24"/>
        <v>23755.885089342133</v>
      </c>
      <c r="AS14" s="290"/>
      <c r="AT14" s="289">
        <f>AT11+AT13</f>
        <v>23755.885089342133</v>
      </c>
      <c r="AU14" s="270">
        <f>AU11+AU13</f>
        <v>304644.26</v>
      </c>
      <c r="AV14" s="270">
        <f>AV11+AV13</f>
        <v>374445.02508934215</v>
      </c>
      <c r="AW14" s="270">
        <f>AW11+AW13</f>
        <v>475028.66</v>
      </c>
      <c r="AX14" s="270"/>
      <c r="AY14" s="291">
        <f>AY11+AY13</f>
        <v>1427108.4000000001</v>
      </c>
      <c r="AZ14" s="291">
        <f>AZ11+AZ13</f>
        <v>376455.12</v>
      </c>
      <c r="BA14" s="291">
        <f>BA11+BA13</f>
        <v>203000.00000000003</v>
      </c>
      <c r="BB14" s="291">
        <f t="shared" ref="BB14:BM14" si="25">BB11+BB13</f>
        <v>27000</v>
      </c>
      <c r="BC14" s="291">
        <f t="shared" si="25"/>
        <v>138422.84000000003</v>
      </c>
      <c r="BD14" s="291">
        <f t="shared" si="25"/>
        <v>37577.160000000003</v>
      </c>
      <c r="BE14" s="291">
        <f t="shared" si="25"/>
        <v>425208.94</v>
      </c>
      <c r="BF14" s="291">
        <f t="shared" si="25"/>
        <v>544035.57999999996</v>
      </c>
      <c r="BG14" s="291"/>
      <c r="BH14" s="291"/>
      <c r="BI14" s="291"/>
      <c r="BJ14" s="291">
        <f t="shared" si="25"/>
        <v>289000</v>
      </c>
      <c r="BK14" s="291">
        <f t="shared" si="25"/>
        <v>405669.02</v>
      </c>
      <c r="BL14" s="291">
        <f t="shared" si="25"/>
        <v>408806.1100000001</v>
      </c>
      <c r="BM14" s="291">
        <f t="shared" si="25"/>
        <v>15120</v>
      </c>
      <c r="BN14" s="291">
        <f>BN11+BN13</f>
        <v>52697.16</v>
      </c>
      <c r="BO14" s="291">
        <f>BO11+BO13</f>
        <v>1005538.8499999999</v>
      </c>
      <c r="BP14" s="291">
        <f>BP11+BP13</f>
        <v>5358100.92</v>
      </c>
      <c r="BQ14" s="284">
        <f>BQ11+BQ13</f>
        <v>4896597.6500000004</v>
      </c>
      <c r="BR14" s="270">
        <f>BR11+BR13</f>
        <v>0</v>
      </c>
      <c r="BS14" s="106">
        <f>SUM(BS5:BS13)</f>
        <v>2.2737367544323206E-13</v>
      </c>
    </row>
    <row r="15" spans="1:74" s="77" customFormat="1" ht="15.75" thickBot="1" x14ac:dyDescent="0.25">
      <c r="A15" s="293"/>
      <c r="B15" s="294"/>
      <c r="C15" s="295" t="s">
        <v>130</v>
      </c>
      <c r="D15" s="295" t="s">
        <v>130</v>
      </c>
      <c r="E15" s="296">
        <f>-(F6+F7+F8+F12)</f>
        <v>90282.59</v>
      </c>
      <c r="F15" s="162" t="s">
        <v>131</v>
      </c>
      <c r="G15" s="297">
        <f>F14*100/G14</f>
        <v>4.7471417314910269</v>
      </c>
      <c r="H15" s="298"/>
      <c r="I15" s="298"/>
      <c r="J15" s="484" t="s">
        <v>130</v>
      </c>
      <c r="K15" s="485"/>
      <c r="L15" s="299">
        <f>-(L5+L6+L7+L8+L10+L12)-101.79</f>
        <v>78582.36000000003</v>
      </c>
      <c r="M15" s="300"/>
      <c r="N15" s="486" t="s">
        <v>130</v>
      </c>
      <c r="O15" s="485"/>
      <c r="P15" s="301">
        <f>-(O5+O6+O7+O8+O9+O10+O12)</f>
        <v>95061.68</v>
      </c>
      <c r="Q15" s="302"/>
      <c r="R15" s="303"/>
      <c r="S15" s="304"/>
      <c r="T15" s="305"/>
      <c r="U15" s="486" t="s">
        <v>130</v>
      </c>
      <c r="V15" s="485"/>
      <c r="W15" s="306" t="s">
        <v>132</v>
      </c>
      <c r="X15" s="307">
        <f>W16*100/W11</f>
        <v>0.29824260530225544</v>
      </c>
      <c r="Y15" s="305"/>
      <c r="Z15" s="305"/>
      <c r="AA15" s="486" t="s">
        <v>130</v>
      </c>
      <c r="AB15" s="485"/>
      <c r="AC15" s="486" t="s">
        <v>130</v>
      </c>
      <c r="AD15" s="485"/>
      <c r="AE15" s="305"/>
      <c r="AF15" s="305"/>
      <c r="AG15" s="305"/>
      <c r="AH15" s="305"/>
      <c r="AI15" s="305"/>
      <c r="AJ15" s="305"/>
      <c r="AK15" s="180" t="s">
        <v>99</v>
      </c>
      <c r="AL15" s="308">
        <f>-(AL6+AL7+AL8+AL10+AL12)</f>
        <v>84230.130037404437</v>
      </c>
      <c r="AM15" s="308"/>
      <c r="AN15" s="308"/>
      <c r="AO15" s="305"/>
      <c r="AP15" s="305"/>
      <c r="AQ15" s="305"/>
      <c r="AR15" s="180" t="s">
        <v>99</v>
      </c>
      <c r="AS15" s="308">
        <f>-(AR6+AR7+AR8+AR12)</f>
        <v>88561.135089342133</v>
      </c>
      <c r="AT15" s="309"/>
      <c r="AU15" s="310"/>
      <c r="AV15" s="311"/>
      <c r="AW15" s="311"/>
      <c r="AX15" s="180" t="s">
        <v>99</v>
      </c>
      <c r="AY15" s="312">
        <f>-(AX5+AX6+AX7+AX8+AX9+AX10+AX12)</f>
        <v>100583.63491065789</v>
      </c>
      <c r="AZ15" s="313"/>
      <c r="BA15" s="313"/>
      <c r="BB15" s="313"/>
      <c r="BC15" s="313"/>
      <c r="BD15" s="313"/>
      <c r="BE15" s="313"/>
      <c r="BF15" s="313"/>
      <c r="BG15" s="180" t="s">
        <v>99</v>
      </c>
      <c r="BH15" s="314">
        <f>-(BG5+BG6+BG7+BG8+BG10+BG12)</f>
        <v>121963.72999999998</v>
      </c>
      <c r="BI15" s="315" t="s">
        <v>133</v>
      </c>
      <c r="BJ15" s="316">
        <f>BG9*100/BH11</f>
        <v>0.7110327768025424</v>
      </c>
      <c r="BK15" s="317"/>
      <c r="BL15" s="317"/>
      <c r="BM15" s="318"/>
      <c r="BN15" s="318"/>
      <c r="BO15" s="318"/>
      <c r="BP15" s="319"/>
      <c r="BQ15" s="487"/>
      <c r="BR15" s="488"/>
      <c r="BS15" s="96">
        <f t="shared" ref="BS15:BS22" si="26">-AO15</f>
        <v>0</v>
      </c>
    </row>
    <row r="16" spans="1:74" s="77" customFormat="1" ht="26.25" thickBot="1" x14ac:dyDescent="0.25">
      <c r="A16" s="293"/>
      <c r="B16" s="294"/>
      <c r="C16" s="320"/>
      <c r="D16" s="168"/>
      <c r="E16" s="321"/>
      <c r="F16" s="322"/>
      <c r="G16" s="323"/>
      <c r="H16" s="298"/>
      <c r="I16" s="298"/>
      <c r="J16" s="269" t="s">
        <v>134</v>
      </c>
      <c r="K16" s="324">
        <f>L9</f>
        <v>264.18999999999505</v>
      </c>
      <c r="L16" s="467">
        <f>L15+R15</f>
        <v>78582.36000000003</v>
      </c>
      <c r="M16" s="468"/>
      <c r="N16" s="468"/>
      <c r="O16" s="468"/>
      <c r="P16" s="468"/>
      <c r="Q16" s="468"/>
      <c r="R16" s="469"/>
      <c r="S16" s="325"/>
      <c r="T16" s="326"/>
      <c r="U16" s="326"/>
      <c r="V16" s="327">
        <f>-(V6+V7+V8+V9+V12)</f>
        <v>76821.299999999974</v>
      </c>
      <c r="W16" s="328">
        <f>K16+V14</f>
        <v>919.25999999998749</v>
      </c>
      <c r="X16" s="326"/>
      <c r="Y16" s="326"/>
      <c r="Z16" s="326"/>
      <c r="AA16" s="326"/>
      <c r="AB16" s="327">
        <f xml:space="preserve"> -(AB5+AB6+AB7+AB8+AB12)</f>
        <v>109901.87996259559</v>
      </c>
      <c r="AD16" s="329"/>
      <c r="AE16" s="330">
        <f>-(AE6+AE7+AE8+AE12)</f>
        <v>85510.69</v>
      </c>
      <c r="AF16" s="331"/>
      <c r="AG16" s="331"/>
      <c r="AH16" s="331"/>
      <c r="AI16" s="331"/>
      <c r="AJ16" s="331"/>
      <c r="AK16" s="205" t="s">
        <v>135</v>
      </c>
      <c r="AL16" s="206">
        <f>AL5+AL9</f>
        <v>2604.0399999999936</v>
      </c>
      <c r="AM16" s="173" t="s">
        <v>100</v>
      </c>
      <c r="AN16" s="332">
        <f>AL16*100/AM11</f>
        <v>0.71855599300985029</v>
      </c>
      <c r="AO16" s="333"/>
      <c r="AP16" s="333"/>
      <c r="AQ16" s="205" t="s">
        <v>136</v>
      </c>
      <c r="AR16" s="206">
        <f>AR5+AR9+AR10</f>
        <v>23755.885089342133</v>
      </c>
      <c r="AS16" s="334" t="s">
        <v>137</v>
      </c>
      <c r="AT16" s="335">
        <f>AR16*100/AS11</f>
        <v>10.101593921249339</v>
      </c>
      <c r="AU16" s="336"/>
      <c r="AV16" s="311"/>
      <c r="AW16" s="311"/>
      <c r="AX16" s="311"/>
      <c r="AY16" s="311"/>
      <c r="AZ16" s="331"/>
      <c r="BA16" s="331"/>
      <c r="BB16" s="331"/>
      <c r="BC16" s="331"/>
      <c r="BD16" s="331"/>
      <c r="BE16" s="470"/>
      <c r="BF16" s="471"/>
      <c r="BG16" s="471"/>
      <c r="BH16" s="471"/>
      <c r="BI16" s="472"/>
      <c r="BJ16" s="473"/>
      <c r="BK16" s="331"/>
      <c r="BL16" s="331"/>
      <c r="BM16" s="311"/>
      <c r="BN16" s="311"/>
      <c r="BO16" s="311"/>
      <c r="BP16" s="311"/>
      <c r="BQ16" s="337"/>
      <c r="BS16" s="96">
        <f t="shared" si="26"/>
        <v>0</v>
      </c>
    </row>
    <row r="17" spans="1:118" s="77" customFormat="1" ht="15" thickBot="1" x14ac:dyDescent="0.25">
      <c r="A17" s="293"/>
      <c r="B17" s="294"/>
      <c r="C17" s="338"/>
      <c r="D17" s="298"/>
      <c r="E17" s="9"/>
      <c r="F17" s="298"/>
      <c r="G17" s="298"/>
      <c r="H17" s="298"/>
      <c r="I17" s="298"/>
      <c r="J17" s="474"/>
      <c r="K17" s="474"/>
      <c r="L17" s="298"/>
      <c r="M17" s="298"/>
      <c r="N17" s="339"/>
      <c r="O17" s="298"/>
      <c r="P17" s="475"/>
      <c r="Q17" s="475"/>
      <c r="R17" s="340"/>
      <c r="AC17" s="205" t="s">
        <v>105</v>
      </c>
      <c r="AD17" s="341">
        <f>AB14+AE14</f>
        <v>1277.9499625955759</v>
      </c>
      <c r="AE17" s="342" t="s">
        <v>138</v>
      </c>
      <c r="AF17" s="343">
        <f>AD17*100/AF11</f>
        <v>0.45484328119857581</v>
      </c>
      <c r="AG17" s="344" t="s">
        <v>139</v>
      </c>
      <c r="AH17" s="345"/>
      <c r="AI17" s="346">
        <f>AB14</f>
        <v>229.01996259557563</v>
      </c>
      <c r="AP17" s="140"/>
      <c r="AQ17" s="140"/>
      <c r="AR17" s="140"/>
      <c r="AS17" s="140"/>
      <c r="AT17" s="140"/>
      <c r="BP17" s="185"/>
      <c r="BQ17" s="185"/>
      <c r="BR17" s="185"/>
      <c r="BS17" s="96">
        <f t="shared" si="26"/>
        <v>0</v>
      </c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</row>
    <row r="18" spans="1:118" ht="81.75" customHeight="1" thickBot="1" x14ac:dyDescent="0.25">
      <c r="B18" s="348" t="s">
        <v>140</v>
      </c>
      <c r="C18" s="16" t="s">
        <v>5</v>
      </c>
      <c r="D18" s="17" t="s">
        <v>6</v>
      </c>
      <c r="E18" s="18" t="s">
        <v>7</v>
      </c>
      <c r="F18" s="19" t="s">
        <v>8</v>
      </c>
      <c r="G18" s="20" t="s">
        <v>9</v>
      </c>
      <c r="H18" s="17" t="s">
        <v>10</v>
      </c>
      <c r="I18" s="21" t="s">
        <v>11</v>
      </c>
      <c r="J18" s="22" t="s">
        <v>12</v>
      </c>
      <c r="K18" s="18" t="s">
        <v>13</v>
      </c>
      <c r="L18" s="19" t="s">
        <v>141</v>
      </c>
      <c r="M18" s="23" t="s">
        <v>15</v>
      </c>
      <c r="N18" s="18" t="s">
        <v>16</v>
      </c>
      <c r="O18" s="19" t="s">
        <v>17</v>
      </c>
      <c r="P18" s="20" t="s">
        <v>18</v>
      </c>
      <c r="Q18" s="20" t="s">
        <v>108</v>
      </c>
      <c r="R18" s="25" t="s">
        <v>109</v>
      </c>
      <c r="S18" s="25" t="s">
        <v>21</v>
      </c>
      <c r="T18" s="33" t="s">
        <v>22</v>
      </c>
      <c r="U18" s="28" t="s">
        <v>24</v>
      </c>
      <c r="V18" s="19" t="s">
        <v>25</v>
      </c>
      <c r="W18" s="20" t="s">
        <v>26</v>
      </c>
      <c r="X18" s="20" t="s">
        <v>27</v>
      </c>
      <c r="Y18" s="33" t="s">
        <v>28</v>
      </c>
      <c r="Z18" s="223" t="s">
        <v>29</v>
      </c>
      <c r="AA18" s="28" t="s">
        <v>30</v>
      </c>
      <c r="AB18" s="19" t="s">
        <v>31</v>
      </c>
      <c r="AC18" s="33" t="s">
        <v>32</v>
      </c>
      <c r="AD18" s="28" t="s">
        <v>33</v>
      </c>
      <c r="AE18" s="19" t="s">
        <v>34</v>
      </c>
      <c r="AF18" s="20" t="s">
        <v>35</v>
      </c>
      <c r="AG18" s="19" t="s">
        <v>36</v>
      </c>
      <c r="AH18" s="34" t="s">
        <v>37</v>
      </c>
      <c r="AI18" s="34" t="s">
        <v>38</v>
      </c>
      <c r="AJ18" s="37" t="s">
        <v>39</v>
      </c>
      <c r="AK18" s="36" t="s">
        <v>40</v>
      </c>
      <c r="AL18" s="19" t="s">
        <v>41</v>
      </c>
      <c r="AM18" s="20" t="s">
        <v>42</v>
      </c>
      <c r="AN18" s="20" t="s">
        <v>43</v>
      </c>
      <c r="AO18" s="34" t="s">
        <v>44</v>
      </c>
      <c r="AP18" s="34" t="s">
        <v>45</v>
      </c>
      <c r="AQ18" s="36" t="s">
        <v>46</v>
      </c>
      <c r="AR18" s="19" t="s">
        <v>47</v>
      </c>
      <c r="AS18" s="20" t="s">
        <v>110</v>
      </c>
      <c r="AT18" s="20" t="s">
        <v>49</v>
      </c>
      <c r="AU18" s="34" t="s">
        <v>50</v>
      </c>
      <c r="AV18" s="37" t="s">
        <v>51</v>
      </c>
      <c r="AW18" s="36" t="s">
        <v>111</v>
      </c>
      <c r="AX18" s="34"/>
      <c r="AY18" s="38" t="s">
        <v>56</v>
      </c>
      <c r="AZ18" s="34" t="s">
        <v>57</v>
      </c>
      <c r="BA18" s="349" t="s">
        <v>112</v>
      </c>
      <c r="BB18" s="37" t="s">
        <v>60</v>
      </c>
      <c r="BC18" s="37" t="s">
        <v>61</v>
      </c>
      <c r="BD18" s="37" t="s">
        <v>62</v>
      </c>
      <c r="BE18" s="40" t="s">
        <v>63</v>
      </c>
      <c r="BF18" s="36" t="s">
        <v>64</v>
      </c>
      <c r="BG18" s="40"/>
      <c r="BH18" s="40"/>
      <c r="BI18" s="40"/>
      <c r="BJ18" s="34" t="s">
        <v>68</v>
      </c>
      <c r="BK18" s="40" t="s">
        <v>69</v>
      </c>
      <c r="BL18" s="40" t="s">
        <v>70</v>
      </c>
      <c r="BM18" s="34" t="s">
        <v>71</v>
      </c>
      <c r="BN18" s="40" t="s">
        <v>72</v>
      </c>
      <c r="BO18" s="41" t="s">
        <v>73</v>
      </c>
      <c r="BP18" s="224" t="s">
        <v>74</v>
      </c>
      <c r="BQ18" s="43" t="s">
        <v>116</v>
      </c>
      <c r="BR18" s="21" t="s">
        <v>117</v>
      </c>
      <c r="BS18" s="225" t="s">
        <v>142</v>
      </c>
    </row>
    <row r="19" spans="1:118" ht="26.25" thickBot="1" x14ac:dyDescent="0.25">
      <c r="B19" s="350" t="s">
        <v>143</v>
      </c>
      <c r="C19" s="351">
        <f>C14+'[1]FEB2022-R'!C22</f>
        <v>8167822.1600000001</v>
      </c>
      <c r="D19" s="352">
        <f>D14+'[1]FEB2022-R'!D22</f>
        <v>687810.05</v>
      </c>
      <c r="E19" s="353">
        <f>E14+'[1]FEB2022-R'!E22</f>
        <v>934163.22</v>
      </c>
      <c r="F19" s="354">
        <f>F14+'[1]FEB2022-R'!F22</f>
        <v>28514.419999999991</v>
      </c>
      <c r="G19" s="355"/>
      <c r="H19" s="356">
        <f>H14+'[1]dupa FEB2022-R'!H22</f>
        <v>612189.94999999995</v>
      </c>
      <c r="I19" s="357">
        <f>I14+'[1]FEB2022-R'!I22</f>
        <v>28514.419999999991</v>
      </c>
      <c r="J19" s="358">
        <f>J14+'[1]dupa FEB2022-R'!J22</f>
        <v>690965.17999999993</v>
      </c>
      <c r="K19" s="359">
        <f>K14+'[1]dupa FEB2022-R'!K22</f>
        <v>972142.28</v>
      </c>
      <c r="L19" s="360">
        <f>K16+'[1]dupa FEB2022-R'!L22</f>
        <v>1539.3700000000022</v>
      </c>
      <c r="M19" s="361">
        <f>M14+'[1]dupaMAR-R'!M22</f>
        <v>662381.35643688007</v>
      </c>
      <c r="N19" s="362">
        <f>N14+'[1]dupaMAR-R'!N22</f>
        <v>966904.74</v>
      </c>
      <c r="O19" s="357">
        <f>'[1]dupaMAR-R'!O22</f>
        <v>1505.2272983899852</v>
      </c>
      <c r="P19" s="363"/>
      <c r="Q19" s="357">
        <f>Q14+'[1]dupaMAR-R'!Q22</f>
        <v>2780.4072983899928</v>
      </c>
      <c r="R19" s="364">
        <f>R14+'[1]dupa SEPT-R '!R24</f>
        <v>2873210.2399999998</v>
      </c>
      <c r="S19" s="364">
        <f>S14+'[1]dupa SEPT-R '!S24</f>
        <v>2916495.4299999997</v>
      </c>
      <c r="T19" s="365">
        <f>T14+'[1]dupaMAR-R'!U22</f>
        <v>643107.32729838998</v>
      </c>
      <c r="U19" s="366">
        <f>U14+'[1]dupaAPR-R'!V22</f>
        <v>877140.31</v>
      </c>
      <c r="V19" s="365"/>
      <c r="W19" s="363"/>
      <c r="X19" s="363"/>
      <c r="Y19" s="363">
        <f>Y14+'[1]TR 2 2023-R'!U22</f>
        <v>623000.91</v>
      </c>
      <c r="Z19" s="367">
        <f>Z14+'[1]dupaMAI-R'!AA22</f>
        <v>689945.69925907697</v>
      </c>
      <c r="AA19" s="368">
        <f>AA14+'[1]dupaMAI-R'!AB22</f>
        <v>1092575.22</v>
      </c>
      <c r="AB19" s="363">
        <f>AB14+'[1]dupaMAI-R'!AC22</f>
        <v>6393.0199625955756</v>
      </c>
      <c r="AC19" s="363">
        <f>AC14+'[1]dupaMAI-R'!AD22</f>
        <v>625079.85710757994</v>
      </c>
      <c r="AD19" s="368">
        <f>AD14+'[1]dupa IUNIE-R '!AE24</f>
        <v>946779.9</v>
      </c>
      <c r="AE19" s="363"/>
      <c r="AF19" s="363"/>
      <c r="AG19" s="363">
        <f>AG14+'[1]dupa IULIE-R '!AH24</f>
        <v>3632910.9000000004</v>
      </c>
      <c r="AH19" s="363"/>
      <c r="AI19" s="363"/>
      <c r="AJ19" s="369">
        <f>AJ14+'[1]dupa IULIE-R '!AK24</f>
        <v>791737.25047771563</v>
      </c>
      <c r="AK19" s="370">
        <f>AK14+'[1]dupa IULIE-R '!AL24</f>
        <v>1276434.8499999999</v>
      </c>
      <c r="AL19" s="369">
        <f>AL14+'[1]dupa IULIE-R '!AM24</f>
        <v>32455.218777236576</v>
      </c>
      <c r="AM19" s="369"/>
      <c r="AN19" s="369">
        <f>AN14+'[1]dupa IULIE-R '!AO24</f>
        <v>32455.218777236576</v>
      </c>
      <c r="AO19" s="369">
        <f>AO14+'[1]dupa IULIE-R '!AP24</f>
        <v>779901.62999999989</v>
      </c>
      <c r="AP19" s="369">
        <f>AP14+'[1]dupa IULIE-R '!AQ24</f>
        <v>820592.58877723652</v>
      </c>
      <c r="AQ19" s="370">
        <f>AQ14+'[1]dupa AUGUST-R  '!AR24</f>
        <v>1252822.24</v>
      </c>
      <c r="AR19" s="371"/>
      <c r="AS19" s="371"/>
      <c r="AT19" s="371"/>
      <c r="AU19" s="369">
        <f>AU14+'[1]dupa IULIE-R '!AR24</f>
        <v>643034.26</v>
      </c>
      <c r="AV19" s="372">
        <f>AV14+'[1]dupa SEPT-R '!AW24</f>
        <v>755911.13508934213</v>
      </c>
      <c r="AW19" s="370">
        <f>AW14+'[1]dupa SEPT-R '!AX24</f>
        <v>1338983.8699999999</v>
      </c>
      <c r="AX19" s="369"/>
      <c r="AY19" s="373">
        <f>AY14+'[1]dupa SEPT-R '!BB24</f>
        <v>3868240.96</v>
      </c>
      <c r="AZ19" s="369">
        <f>AZ14+'[1]dupa SEPT-R '!BD24</f>
        <v>795785.48095762962</v>
      </c>
      <c r="BA19" s="374">
        <f>BA14+'[1]dupa SEPT-R '!BE24</f>
        <v>406000</v>
      </c>
      <c r="BB19" s="372">
        <f>BB14+'[1]dupa SEPT-R '!BF24</f>
        <v>53713.59</v>
      </c>
      <c r="BC19" s="372">
        <f>BC14+'[1]dupa SEPT-R '!BG24</f>
        <v>284070.23000000004</v>
      </c>
      <c r="BD19" s="372">
        <f>BD14+'[1]dupa SEPT-R '!BH24</f>
        <v>68216.180000000008</v>
      </c>
      <c r="BE19" s="375">
        <f>BE14+'[1]dupa SEPT-R '!BI24</f>
        <v>871252.89095762977</v>
      </c>
      <c r="BF19" s="370">
        <f>BF14+'[1]dupa OCT-R  '!BJ24</f>
        <v>1505478.3399999999</v>
      </c>
      <c r="BG19" s="375"/>
      <c r="BH19" s="375"/>
      <c r="BI19" s="375"/>
      <c r="BJ19" s="369">
        <f>BJ14+'[1]dupa SEPT-R '!BJ24</f>
        <v>522790</v>
      </c>
      <c r="BK19" s="375">
        <f>BK14+'[1]dupa OCT-R  '!BO24</f>
        <v>781167.38</v>
      </c>
      <c r="BL19" s="375">
        <f>BL14+'[1]dupa OCT-R  '!BP24</f>
        <v>623825.01037069957</v>
      </c>
      <c r="BM19" s="369">
        <f>BM14+'[1]dupa SEPT-R '!BL24</f>
        <v>115269.99999999999</v>
      </c>
      <c r="BN19" s="375">
        <f>BN14+'[1]dupa SEPT-R '!BM24</f>
        <v>195604.97</v>
      </c>
      <c r="BO19" s="376">
        <f>BO14+'[1]dupa OCT-R  '!BS24</f>
        <v>2489908.3203706993</v>
      </c>
      <c r="BP19" s="377">
        <f>BP14+'[1]dupa OCT-R  '!BT24</f>
        <v>12147854.950370699</v>
      </c>
      <c r="BQ19" s="378">
        <f>BQ14+'[1]dupa OCT-R  '!BU24</f>
        <v>11163424.970000001</v>
      </c>
      <c r="BR19" s="363">
        <f>BR14+'[1]dupaAPR-R'!AE22</f>
        <v>2.2737367544323206E-12</v>
      </c>
      <c r="BS19" s="96">
        <f>BS14+'[1]dupa AUGUST-R  '!BE24</f>
        <v>14.440000000007785</v>
      </c>
    </row>
    <row r="20" spans="1:118" ht="39" thickBot="1" x14ac:dyDescent="0.25">
      <c r="C20" s="379"/>
      <c r="D20" s="159"/>
      <c r="E20" s="380" t="s">
        <v>144</v>
      </c>
      <c r="F20" s="381">
        <f>E15+'[1]FEB2022-R'!E23</f>
        <v>274867.58999999997</v>
      </c>
      <c r="G20" s="476" t="s">
        <v>145</v>
      </c>
      <c r="H20" s="477"/>
      <c r="I20" s="477"/>
      <c r="J20" s="478" t="s">
        <v>146</v>
      </c>
      <c r="K20" s="479"/>
      <c r="L20" s="382">
        <f>L15+'[1]dupa FEB2022-R'!K23</f>
        <v>282614.67783499486</v>
      </c>
      <c r="M20" s="480"/>
      <c r="N20" s="480"/>
      <c r="O20" s="383"/>
      <c r="P20" s="481"/>
      <c r="Q20" s="481"/>
      <c r="R20" s="383"/>
      <c r="S20" s="383"/>
      <c r="T20" s="482" t="s">
        <v>147</v>
      </c>
      <c r="U20" s="482"/>
      <c r="V20" s="384">
        <f>V16+'[1]dupaAPR-R'!X23</f>
        <v>250874.11662366014</v>
      </c>
      <c r="W20" s="383"/>
      <c r="X20" s="383"/>
      <c r="Y20" s="383"/>
      <c r="Z20" s="383"/>
      <c r="AA20" s="483" t="s">
        <v>148</v>
      </c>
      <c r="AB20" s="483"/>
      <c r="AC20" s="384">
        <f>AE16+'[1]dupa IUNIE-R '!AF25</f>
        <v>328635.23340754001</v>
      </c>
      <c r="AD20" s="385"/>
      <c r="AE20" s="385"/>
      <c r="AF20" s="383"/>
      <c r="AG20" s="385"/>
      <c r="AH20" s="385"/>
      <c r="AI20" s="385"/>
      <c r="AJ20" s="458" t="s">
        <v>149</v>
      </c>
      <c r="AK20" s="459"/>
      <c r="AL20" s="386">
        <f>AL15+'[1]dupa IULIE-R '!AM25</f>
        <v>517167.258299521</v>
      </c>
      <c r="AM20" s="383"/>
      <c r="AN20" s="383"/>
      <c r="AO20" s="383"/>
      <c r="AP20" s="383"/>
      <c r="AQ20" s="458" t="s">
        <v>150</v>
      </c>
      <c r="AR20" s="459"/>
      <c r="AS20" s="385">
        <f>AS15+'[1]dupa AUGUST-R  '!AS25</f>
        <v>482690.00887743197</v>
      </c>
      <c r="AT20" s="383"/>
      <c r="AU20" s="383"/>
      <c r="AV20" s="383"/>
      <c r="AW20" s="387" t="s">
        <v>151</v>
      </c>
      <c r="AX20" s="388">
        <f>AY15+'[1]dupa SEPT-R '!AY25</f>
        <v>584489.0858682876</v>
      </c>
      <c r="AY20" s="385"/>
      <c r="AZ20" s="383"/>
      <c r="BA20" s="383"/>
      <c r="BB20" s="383"/>
      <c r="BC20" s="383"/>
      <c r="BD20" s="383"/>
      <c r="BE20" s="383"/>
      <c r="BF20" s="383"/>
      <c r="BG20" s="383"/>
      <c r="BH20" s="385">
        <f>BH15+'[1]dupa OCT-R  '!BL25</f>
        <v>637944.04941306985</v>
      </c>
      <c r="BI20" s="383"/>
      <c r="BJ20" s="383"/>
      <c r="BK20" s="383"/>
      <c r="BL20" s="383"/>
      <c r="BM20" s="383"/>
      <c r="BN20" s="383"/>
      <c r="BO20" s="383"/>
      <c r="BP20" s="389"/>
      <c r="BQ20" s="390"/>
      <c r="BS20" s="96">
        <f t="shared" si="26"/>
        <v>0</v>
      </c>
    </row>
    <row r="21" spans="1:118" ht="36.75" thickBot="1" x14ac:dyDescent="0.25">
      <c r="B21" s="391" t="s">
        <v>152</v>
      </c>
      <c r="C21" s="392">
        <f>1300000+700000+274870+282620</f>
        <v>2557490</v>
      </c>
      <c r="D21" s="393"/>
      <c r="E21" s="394">
        <f>F20+L20</f>
        <v>557482.26783499483</v>
      </c>
      <c r="F21" s="395" t="s">
        <v>153</v>
      </c>
      <c r="G21" s="393"/>
      <c r="H21" s="393"/>
      <c r="I21" s="393"/>
      <c r="J21" s="269" t="s">
        <v>134</v>
      </c>
      <c r="K21" s="396">
        <f>L19</f>
        <v>1539.3700000000022</v>
      </c>
      <c r="L21" s="11"/>
      <c r="M21" s="11"/>
      <c r="N21" s="397"/>
      <c r="O21" s="398"/>
      <c r="P21" s="399" t="s">
        <v>154</v>
      </c>
      <c r="Q21" s="400"/>
      <c r="R21" s="11"/>
      <c r="S21" s="11"/>
      <c r="T21" s="11"/>
      <c r="U21" s="11"/>
      <c r="V21" s="11"/>
      <c r="W21" s="11"/>
      <c r="X21" s="11"/>
      <c r="Y21" s="11"/>
      <c r="Z21" s="11"/>
      <c r="AA21" s="401" t="s">
        <v>104</v>
      </c>
      <c r="AB21" s="206">
        <f>AI17+'[1]dupaMAI-R'!AC25</f>
        <v>6393.0199625955756</v>
      </c>
      <c r="AC21" s="402"/>
      <c r="AD21" s="402">
        <f>AE14+'[1]dupa IUNIE-R '!AF24</f>
        <v>11785.970515119974</v>
      </c>
      <c r="AE21" s="402"/>
      <c r="AF21" s="402"/>
      <c r="AG21" s="402"/>
      <c r="AH21" s="402"/>
      <c r="AI21" s="402"/>
      <c r="AJ21" s="403"/>
      <c r="AK21" s="403"/>
      <c r="AL21" s="403"/>
      <c r="AM21" s="402"/>
      <c r="AN21" s="402"/>
      <c r="AO21" s="402"/>
      <c r="AP21" s="402"/>
      <c r="AQ21" s="404"/>
      <c r="AR21" s="404"/>
      <c r="AS21" s="404"/>
      <c r="AT21" s="404"/>
      <c r="AU21" s="464"/>
      <c r="AV21" s="465"/>
      <c r="AW21" s="465"/>
      <c r="AX21" s="465"/>
      <c r="AY21" s="465"/>
      <c r="AZ21" s="466"/>
      <c r="BA21" s="405"/>
      <c r="BB21" s="405"/>
      <c r="BC21" s="405"/>
      <c r="BD21" s="405"/>
      <c r="BE21" s="406"/>
      <c r="BF21" s="406"/>
      <c r="BG21" s="406"/>
      <c r="BH21" s="406"/>
      <c r="BI21" s="406"/>
      <c r="BJ21" s="407"/>
      <c r="BK21" s="408"/>
      <c r="BL21" s="408"/>
      <c r="BM21" s="402"/>
      <c r="BN21" s="402"/>
      <c r="BO21" s="402"/>
      <c r="BP21" s="409" t="s">
        <v>155</v>
      </c>
      <c r="BQ21" s="410">
        <f>BP19-C29</f>
        <v>-149.09962930157781</v>
      </c>
      <c r="BS21" s="96">
        <f t="shared" si="26"/>
        <v>0</v>
      </c>
    </row>
    <row r="22" spans="1:118" ht="13.5" hidden="1" thickBot="1" x14ac:dyDescent="0.25">
      <c r="B22" s="411"/>
      <c r="C22" s="412">
        <v>466000</v>
      </c>
      <c r="D22" s="413"/>
      <c r="E22" s="414"/>
      <c r="F22" s="413"/>
      <c r="G22" s="413"/>
      <c r="H22" s="413"/>
      <c r="I22" s="413"/>
      <c r="J22" s="415" t="s">
        <v>104</v>
      </c>
      <c r="K22" s="416" t="e">
        <f>L15+#REF!</f>
        <v>#REF!</v>
      </c>
      <c r="L22" s="413"/>
      <c r="M22" s="413"/>
      <c r="N22" s="413"/>
      <c r="O22" s="413"/>
      <c r="P22" s="413"/>
      <c r="Q22" s="413"/>
      <c r="R22" s="417"/>
      <c r="S22" s="417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9"/>
      <c r="AQ22" s="419"/>
      <c r="AR22" s="419"/>
      <c r="AS22" s="419"/>
      <c r="AT22" s="419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20" t="e">
        <f>#REF!</f>
        <v>#REF!</v>
      </c>
      <c r="BK22" s="420"/>
      <c r="BL22" s="420"/>
      <c r="BM22" s="418"/>
      <c r="BN22" s="418"/>
      <c r="BO22" s="418"/>
      <c r="BP22" s="420" t="e">
        <f>#REF!</f>
        <v>#REF!</v>
      </c>
      <c r="BQ22" s="9" t="e">
        <f>BQ21-#REF!</f>
        <v>#REF!</v>
      </c>
      <c r="BS22" s="96">
        <f t="shared" si="26"/>
        <v>0</v>
      </c>
    </row>
    <row r="23" spans="1:118" ht="15" hidden="1" thickBot="1" x14ac:dyDescent="0.25">
      <c r="B23" s="421"/>
      <c r="C23" s="422"/>
      <c r="D23" s="423"/>
      <c r="E23" s="423"/>
      <c r="F23" s="423"/>
      <c r="G23" s="423"/>
      <c r="H23" s="423"/>
      <c r="I23" s="423"/>
      <c r="J23" s="423"/>
      <c r="K23" s="423"/>
      <c r="L23" s="423"/>
      <c r="M23" s="423" t="s">
        <v>156</v>
      </c>
      <c r="N23" s="423"/>
      <c r="O23" s="423"/>
      <c r="P23" s="423"/>
      <c r="Q23" s="423"/>
      <c r="R23" s="422" t="e">
        <f>C21+R21-K22</f>
        <v>#REF!</v>
      </c>
      <c r="S23" s="422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24">
        <v>667000</v>
      </c>
      <c r="BK23" s="424"/>
      <c r="BL23" s="424"/>
      <c r="BM23" s="400"/>
      <c r="BN23" s="400"/>
      <c r="BO23" s="400"/>
      <c r="BP23" s="424">
        <v>667000</v>
      </c>
      <c r="BQ23" s="425"/>
      <c r="BS23" s="137">
        <f>SUM(BS15:BS22)</f>
        <v>14.440000000007785</v>
      </c>
    </row>
    <row r="24" spans="1:118" ht="15.75" hidden="1" thickBot="1" x14ac:dyDescent="0.25">
      <c r="B24" s="426"/>
      <c r="C24" s="427">
        <v>3070000</v>
      </c>
      <c r="D24" s="428"/>
      <c r="E24" s="429">
        <v>3186320</v>
      </c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30"/>
      <c r="S24" s="431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190" t="e">
        <f>BJ22-BJ23</f>
        <v>#REF!</v>
      </c>
      <c r="BK24" s="190"/>
      <c r="BL24" s="190"/>
      <c r="BM24" s="220"/>
      <c r="BN24" s="220"/>
      <c r="BO24" s="220"/>
      <c r="BP24" s="190" t="e">
        <f>BP22-BP23</f>
        <v>#REF!</v>
      </c>
      <c r="BQ24" s="10"/>
      <c r="BS24" s="149">
        <f>BS14+BS23</f>
        <v>14.440000000008013</v>
      </c>
    </row>
    <row r="25" spans="1:118" ht="15" hidden="1" thickBot="1" x14ac:dyDescent="0.25">
      <c r="B25" s="426"/>
      <c r="C25" s="432">
        <v>72293.070000000007</v>
      </c>
      <c r="D25" s="433"/>
      <c r="E25" s="433">
        <v>3323950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1"/>
      <c r="AQ25" s="11"/>
      <c r="AR25" s="11"/>
      <c r="AS25" s="11"/>
      <c r="AT25" s="11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90"/>
      <c r="BK25" s="190"/>
      <c r="BL25" s="190"/>
      <c r="BM25" s="10"/>
      <c r="BN25" s="10"/>
      <c r="BO25" s="10"/>
      <c r="BP25" s="190"/>
      <c r="BQ25" s="10"/>
    </row>
    <row r="26" spans="1:118" ht="15" hidden="1" thickBot="1" x14ac:dyDescent="0.25">
      <c r="B26" s="434"/>
      <c r="C26" s="435">
        <v>3982180</v>
      </c>
      <c r="R26" s="436">
        <v>3982180</v>
      </c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219"/>
      <c r="BK26" s="219"/>
      <c r="BL26" s="219"/>
      <c r="BM26" s="436"/>
      <c r="BN26" s="436"/>
      <c r="BO26" s="436"/>
      <c r="BQ26" s="437"/>
    </row>
    <row r="27" spans="1:118" ht="15" customHeight="1" thickBot="1" x14ac:dyDescent="0.25">
      <c r="B27" s="426"/>
      <c r="C27" s="438"/>
      <c r="D27" s="439"/>
      <c r="E27" s="440"/>
      <c r="BJ27" s="219"/>
      <c r="BK27" s="219"/>
      <c r="BL27" s="219"/>
      <c r="BP27" s="441" t="s">
        <v>102</v>
      </c>
      <c r="BQ27" s="442">
        <f>-(BQ21)</f>
        <v>149.09962930157781</v>
      </c>
    </row>
    <row r="28" spans="1:118" ht="18.75" thickBot="1" x14ac:dyDescent="0.3">
      <c r="B28" s="443" t="s">
        <v>157</v>
      </c>
      <c r="C28" s="444">
        <v>5423960</v>
      </c>
      <c r="D28" s="445"/>
      <c r="E28" s="446"/>
      <c r="F28" s="447"/>
      <c r="G28" s="447"/>
      <c r="H28" s="447"/>
      <c r="I28" s="447"/>
      <c r="J28" s="447"/>
      <c r="K28" s="447"/>
      <c r="L28" s="448"/>
      <c r="M28" s="448"/>
      <c r="N28" s="448"/>
      <c r="O28" s="448"/>
      <c r="P28" s="448"/>
      <c r="Q28" s="448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50"/>
      <c r="BK28" s="450"/>
      <c r="BL28" s="450"/>
      <c r="BM28" s="449"/>
      <c r="BN28" s="449"/>
      <c r="BO28" s="449"/>
      <c r="BP28" s="449"/>
      <c r="BQ28" s="449"/>
      <c r="BR28" s="450"/>
    </row>
    <row r="29" spans="1:118" ht="23.25" thickBot="1" x14ac:dyDescent="0.35">
      <c r="B29" s="451" t="s">
        <v>158</v>
      </c>
      <c r="C29" s="452">
        <v>12148004.050000001</v>
      </c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1"/>
      <c r="BK29" s="454">
        <f>R19+S19+AY19+BO19</f>
        <v>12147854.950370699</v>
      </c>
      <c r="BL29" s="454"/>
      <c r="BM29" s="454"/>
      <c r="BP29" s="1"/>
      <c r="BQ29" s="453"/>
      <c r="BR29" s="11"/>
    </row>
    <row r="30" spans="1:118" x14ac:dyDescent="0.2">
      <c r="BJ30" s="219"/>
      <c r="BK30" s="219"/>
      <c r="BL30" s="219"/>
    </row>
  </sheetData>
  <mergeCells count="20">
    <mergeCell ref="BQ15:BR15"/>
    <mergeCell ref="J15:K15"/>
    <mergeCell ref="N15:O15"/>
    <mergeCell ref="U15:V15"/>
    <mergeCell ref="AA15:AB15"/>
    <mergeCell ref="AC15:AD15"/>
    <mergeCell ref="J17:K17"/>
    <mergeCell ref="P17:Q17"/>
    <mergeCell ref="G20:I20"/>
    <mergeCell ref="J20:K20"/>
    <mergeCell ref="M20:N20"/>
    <mergeCell ref="P20:Q20"/>
    <mergeCell ref="AJ20:AK20"/>
    <mergeCell ref="AQ20:AR20"/>
    <mergeCell ref="AU21:AZ21"/>
    <mergeCell ref="BK29:BM29"/>
    <mergeCell ref="L16:R16"/>
    <mergeCell ref="BE16:BJ16"/>
    <mergeCell ref="T20:U20"/>
    <mergeCell ref="AA20:A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dupaOCT-R</vt:lpstr>
      <vt:lpstr>dupa OCT-L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Lungu</dc:creator>
  <cp:lastModifiedBy>Daniela Lungu</cp:lastModifiedBy>
  <dcterms:created xsi:type="dcterms:W3CDTF">2023-11-28T09:28:16Z</dcterms:created>
  <dcterms:modified xsi:type="dcterms:W3CDTF">2023-11-28T09:32:13Z</dcterms:modified>
</cp:coreProperties>
</file>