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tabRatio="784" activeTab="1"/>
  </bookViews>
  <sheets>
    <sheet name="FEB2022-R" sheetId="1" r:id="rId1"/>
    <sheet name="FEB2022-L" sheetId="2" r:id="rId2"/>
  </sheets>
  <definedNames>
    <definedName name="_xlnm.Print_Titles" localSheetId="1">'FEB2022-L'!$4:$4</definedName>
    <definedName name="_xlnm.Print_Titles" localSheetId="0">'FEB2022-R'!$4:$4</definedName>
    <definedName name="_xlnm.Print_Area" localSheetId="1">'FEB2022-L'!$A$1:$V$28</definedName>
    <definedName name="_xlnm.Print_Area" localSheetId="0">'FEB2022-R'!$A$1:$W$26</definedName>
  </definedNames>
  <calcPr fullCalcOnLoad="1"/>
</workbook>
</file>

<file path=xl/sharedStrings.xml><?xml version="1.0" encoding="utf-8"?>
<sst xmlns="http://schemas.openxmlformats.org/spreadsheetml/2006/main" count="114" uniqueCount="71">
  <si>
    <t xml:space="preserve">Furnizor </t>
  </si>
  <si>
    <t>TOTAL RADIOLOGIE</t>
  </si>
  <si>
    <t>TOTAL I - analize laborator</t>
  </si>
  <si>
    <t>TOTAL II - anatomo-patologie</t>
  </si>
  <si>
    <t>TOTAL I+II - LABORATOARE</t>
  </si>
  <si>
    <t>CASA DE ASIGURARI DE SANATATE  BRAILA</t>
  </si>
  <si>
    <t>SC R.I.M. DR BANCEANU ELENA</t>
  </si>
  <si>
    <t>Sp. Judetean - radiologie-imagistica amb.</t>
  </si>
  <si>
    <t>SP de Pneumoftiziologie - rad.ambulator</t>
  </si>
  <si>
    <t xml:space="preserve">Nr furn </t>
  </si>
  <si>
    <t>SC R.I.M. DR. COSMESCU PETRE</t>
  </si>
  <si>
    <t>TOTAL ECOGRAFII + RAD.dentara</t>
  </si>
  <si>
    <t>TOTAL CONTRACTAT (laboratoare+radiologie imagistica)</t>
  </si>
  <si>
    <t>Policlinica copii "VENETIA" - EKO</t>
  </si>
  <si>
    <t>Cytopath S.R.L. Braila (Histopatologie)</t>
  </si>
  <si>
    <t>TOTAL SUME PARACLINICE (laboratoare + radiologie)</t>
  </si>
  <si>
    <t>RADOVA MEDICAL - EKO</t>
  </si>
  <si>
    <t>IAN realizat</t>
  </si>
  <si>
    <t>FEB realizat</t>
  </si>
  <si>
    <t>DR. VODA RALUCA - EKO</t>
  </si>
  <si>
    <t>DR. MARDARE SEBASTIAN -EKO</t>
  </si>
  <si>
    <t>DR CRISTEA ELENA - EKO</t>
  </si>
  <si>
    <t>DR.Stamate Maria-Magdalena- Rad dent.</t>
  </si>
  <si>
    <t>Spital FAUREI - EKO cabinete spec.</t>
  </si>
  <si>
    <t>SP JUDETEAN - EKO cabinete spec.</t>
  </si>
  <si>
    <t>SC DIAMED CENTER S.R.L.</t>
  </si>
  <si>
    <t>MEDICOTEST</t>
  </si>
  <si>
    <t xml:space="preserve">CMI Varzaru Victoria  </t>
  </si>
  <si>
    <t>SC INVESTIGATII PRAXIS</t>
  </si>
  <si>
    <t>Sp de Pneumoftiziologie - laborator ambulatoriu</t>
  </si>
  <si>
    <t>MAR realizat</t>
  </si>
  <si>
    <t>Medie realizari 13 luni (pt cei ce au realizat ctr)</t>
  </si>
  <si>
    <t>% pt Reg=</t>
  </si>
  <si>
    <t>ANEXA 1</t>
  </si>
  <si>
    <r>
      <t xml:space="preserve">VENETIA MEDICAL </t>
    </r>
    <r>
      <rPr>
        <b/>
        <i/>
        <sz val="8"/>
        <rFont val="TimesRomanR"/>
        <family val="0"/>
      </rPr>
      <t>(in ctr din aug.2019 !)</t>
    </r>
  </si>
  <si>
    <t>Suma nerealizata FEB2021 (cu - in SIUI)</t>
  </si>
  <si>
    <t>suplim Monitor=</t>
  </si>
  <si>
    <t xml:space="preserve">Rezerva = </t>
  </si>
  <si>
    <t>Verificare =</t>
  </si>
  <si>
    <t>TOTAL RADIOLOGIE-IMAGISTICA</t>
  </si>
  <si>
    <t>Medie realizari 3 luni (pt cei ce au realizat ctr)</t>
  </si>
  <si>
    <t>Pentru regularizare =</t>
  </si>
  <si>
    <t>din care: Covid = 5871 /Onco = 91939,03</t>
  </si>
  <si>
    <t>Suma nerealizata MAR2021(cu - in SIUI)</t>
  </si>
  <si>
    <t>SC NEWVITALCLINIC SRL</t>
  </si>
  <si>
    <t>FEB2022</t>
  </si>
  <si>
    <t>Monitorizari</t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</si>
  <si>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analize de laborator</t>
    </r>
    <r>
      <rPr>
        <b/>
        <sz val="12"/>
        <rFont val="TimesRomanR"/>
        <family val="0"/>
      </rPr>
      <t xml:space="preserve"> - AN 2022</t>
    </r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</si>
  <si>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radiologie -imagistica</t>
    </r>
    <r>
      <rPr>
        <b/>
        <sz val="12"/>
        <rFont val="TimesRomanR"/>
        <family val="0"/>
      </rPr>
      <t xml:space="preserve"> - AN 2022</t>
    </r>
  </si>
  <si>
    <t>din care Covid=8110,98 /Onco=89579,15/ Diab=5007,76lei</t>
  </si>
  <si>
    <t xml:space="preserve">Monitorizari = </t>
  </si>
  <si>
    <t>TOTAL Monitorizari FEB2022   =</t>
  </si>
  <si>
    <r>
      <t xml:space="preserve">MEDIMA HEALTH SA </t>
    </r>
    <r>
      <rPr>
        <b/>
        <i/>
        <sz val="8"/>
        <rFont val="TimesRomanR"/>
        <family val="0"/>
      </rPr>
      <t>(in ctr din oct2022 !)</t>
    </r>
  </si>
  <si>
    <r>
      <t xml:space="preserve">CENTRUL MEDICAL MATEUS </t>
    </r>
    <r>
      <rPr>
        <b/>
        <i/>
        <sz val="8"/>
        <rFont val="TimesRomanR"/>
        <family val="0"/>
      </rPr>
      <t>(din oct2022)</t>
    </r>
  </si>
  <si>
    <t xml:space="preserve">AN 2022 REALIZAT final </t>
  </si>
  <si>
    <t>IAN2023</t>
  </si>
  <si>
    <t>Suma nerealizata IAN2023 (cu - in SIUI)</t>
  </si>
  <si>
    <t>FEB reg dupa IAN2023</t>
  </si>
  <si>
    <t>REG dupa IAN2023</t>
  </si>
  <si>
    <t>MAR2023</t>
  </si>
  <si>
    <t>REG dupa MARTIE2023</t>
  </si>
  <si>
    <t xml:space="preserve">TRIM I 2023 </t>
  </si>
  <si>
    <t>AN 2023 contractat cu Monitorizari</t>
  </si>
  <si>
    <t>AN 2023 REALIZAT</t>
  </si>
  <si>
    <t>Suma pt AA  de REG dupa IAN2023</t>
  </si>
  <si>
    <t>ANEXA 2</t>
  </si>
  <si>
    <t>TOTAL Monitorizari IAN2023   =</t>
  </si>
  <si>
    <t xml:space="preserve">CONTRACTAT pt TRIM I 2023= </t>
  </si>
  <si>
    <t>TOTAL 2023 pt Monit</t>
  </si>
  <si>
    <t xml:space="preserve">% pt REG Ian = </t>
  </si>
  <si>
    <t>Diferenta fatza de Contract=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</si>
</sst>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0"/>
    <numFmt numFmtId="167" formatCode="#,##0.000"/>
    <numFmt numFmtId="168" formatCode="#,##0.000000"/>
    <numFmt numFmtId="169" formatCode="#,##0.00000"/>
    <numFmt numFmtId="170" formatCode="#,##0.0000000"/>
    <numFmt numFmtId="171" formatCode="#,##0.00000000"/>
    <numFmt numFmtId="172" formatCode="[$-418]dddd\,\ d\ mmmm\ yyyy"/>
  </numFmts>
  <fonts count="63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b/>
      <sz val="12"/>
      <name val="TimesRomanR"/>
      <family val="0"/>
    </font>
    <font>
      <i/>
      <sz val="10"/>
      <name val="TimesRomanR"/>
      <family val="0"/>
    </font>
    <font>
      <b/>
      <i/>
      <sz val="10"/>
      <name val="TimesRomanR"/>
      <family val="0"/>
    </font>
    <font>
      <b/>
      <sz val="10"/>
      <name val="TimesRomanR"/>
      <family val="0"/>
    </font>
    <font>
      <b/>
      <sz val="8"/>
      <name val="TimesRomanR"/>
      <family val="0"/>
    </font>
    <font>
      <b/>
      <sz val="9"/>
      <name val="TimesRomanR"/>
      <family val="0"/>
    </font>
    <font>
      <sz val="8"/>
      <name val="TimesRomanR"/>
      <family val="0"/>
    </font>
    <font>
      <b/>
      <i/>
      <sz val="9"/>
      <name val="TimesRomanR"/>
      <family val="0"/>
    </font>
    <font>
      <sz val="9"/>
      <name val="TimesRomanR"/>
      <family val="0"/>
    </font>
    <font>
      <i/>
      <sz val="9"/>
      <name val="TimesRomanR"/>
      <family val="0"/>
    </font>
    <font>
      <b/>
      <u val="single"/>
      <sz val="12"/>
      <name val="TimesRomanR"/>
      <family val="0"/>
    </font>
    <font>
      <b/>
      <sz val="11"/>
      <name val="TimesRomanR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color indexed="8"/>
      <name val="TimesRomanR"/>
      <family val="0"/>
    </font>
    <font>
      <b/>
      <i/>
      <sz val="8"/>
      <name val="TimesRomanR"/>
      <family val="0"/>
    </font>
    <font>
      <b/>
      <i/>
      <sz val="11"/>
      <name val="TimesRomanR"/>
      <family val="0"/>
    </font>
    <font>
      <b/>
      <sz val="10"/>
      <color indexed="9"/>
      <name val="TimesRomanR"/>
      <family val="0"/>
    </font>
    <font>
      <sz val="10"/>
      <color indexed="9"/>
      <name val="TimesRomanR"/>
      <family val="0"/>
    </font>
    <font>
      <b/>
      <sz val="9"/>
      <color indexed="9"/>
      <name val="TimesRomanR"/>
      <family val="0"/>
    </font>
    <font>
      <sz val="11"/>
      <name val="TimesRomanR"/>
      <family val="0"/>
    </font>
    <font>
      <i/>
      <sz val="11"/>
      <name val="TimesRomanR"/>
      <family val="0"/>
    </font>
    <font>
      <b/>
      <sz val="14"/>
      <name val="TimesRomanR"/>
      <family val="0"/>
    </font>
    <font>
      <b/>
      <i/>
      <sz val="8"/>
      <color indexed="9"/>
      <name val="TimesRomanR"/>
      <family val="0"/>
    </font>
    <font>
      <b/>
      <i/>
      <sz val="10"/>
      <color indexed="9"/>
      <name val="TimesRomanR"/>
      <family val="0"/>
    </font>
    <font>
      <b/>
      <sz val="8"/>
      <color indexed="9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4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10" fillId="32" borderId="11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8" fillId="0" borderId="13" xfId="0" applyNumberFormat="1" applyFont="1" applyBorder="1" applyAlignment="1" quotePrefix="1">
      <alignment horizontal="center" vertical="center" wrapText="1"/>
    </xf>
    <xf numFmtId="4" fontId="8" fillId="0" borderId="11" xfId="0" applyNumberFormat="1" applyFont="1" applyBorder="1" applyAlignment="1" quotePrefix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/>
    </xf>
    <xf numFmtId="4" fontId="8" fillId="32" borderId="13" xfId="0" applyNumberFormat="1" applyFont="1" applyFill="1" applyBorder="1" applyAlignment="1">
      <alignment horizontal="center" vertical="center" wrapText="1"/>
    </xf>
    <xf numFmtId="4" fontId="1" fillId="32" borderId="14" xfId="0" applyNumberFormat="1" applyFont="1" applyFill="1" applyBorder="1" applyAlignment="1">
      <alignment wrapText="1"/>
    </xf>
    <xf numFmtId="4" fontId="1" fillId="32" borderId="15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" fontId="5" fillId="3" borderId="11" xfId="0" applyNumberFormat="1" applyFont="1" applyFill="1" applyBorder="1" applyAlignment="1">
      <alignment horizontal="center" wrapText="1"/>
    </xf>
    <xf numFmtId="4" fontId="5" fillId="3" borderId="13" xfId="0" applyNumberFormat="1" applyFont="1" applyFill="1" applyBorder="1" applyAlignment="1">
      <alignment horizontal="center" wrapText="1"/>
    </xf>
    <xf numFmtId="4" fontId="1" fillId="32" borderId="14" xfId="0" applyNumberFormat="1" applyFont="1" applyFill="1" applyBorder="1" applyAlignment="1">
      <alignment horizontal="right" wrapText="1"/>
    </xf>
    <xf numFmtId="4" fontId="1" fillId="32" borderId="17" xfId="0" applyNumberFormat="1" applyFont="1" applyFill="1" applyBorder="1" applyAlignment="1">
      <alignment horizontal="right" wrapText="1"/>
    </xf>
    <xf numFmtId="4" fontId="6" fillId="3" borderId="18" xfId="0" applyNumberFormat="1" applyFont="1" applyFill="1" applyBorder="1" applyAlignment="1">
      <alignment horizontal="right" wrapText="1"/>
    </xf>
    <xf numFmtId="4" fontId="6" fillId="3" borderId="19" xfId="0" applyNumberFormat="1" applyFont="1" applyFill="1" applyBorder="1" applyAlignment="1">
      <alignment horizontal="right" wrapText="1"/>
    </xf>
    <xf numFmtId="4" fontId="6" fillId="3" borderId="20" xfId="0" applyNumberFormat="1" applyFont="1" applyFill="1" applyBorder="1" applyAlignment="1">
      <alignment horizontal="right" wrapText="1"/>
    </xf>
    <xf numFmtId="4" fontId="5" fillId="3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wrapText="1"/>
    </xf>
    <xf numFmtId="4" fontId="1" fillId="32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5" fillId="32" borderId="21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/>
    </xf>
    <xf numFmtId="4" fontId="6" fillId="32" borderId="24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33" borderId="24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1" fillId="32" borderId="18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wrapText="1"/>
    </xf>
    <xf numFmtId="4" fontId="6" fillId="34" borderId="18" xfId="0" applyNumberFormat="1" applyFont="1" applyFill="1" applyBorder="1" applyAlignment="1">
      <alignment wrapText="1"/>
    </xf>
    <xf numFmtId="4" fontId="6" fillId="34" borderId="19" xfId="0" applyNumberFormat="1" applyFont="1" applyFill="1" applyBorder="1" applyAlignment="1">
      <alignment wrapText="1"/>
    </xf>
    <xf numFmtId="4" fontId="1" fillId="32" borderId="18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wrapText="1"/>
    </xf>
    <xf numFmtId="4" fontId="6" fillId="0" borderId="26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 wrapText="1"/>
    </xf>
    <xf numFmtId="4" fontId="1" fillId="0" borderId="28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35" borderId="29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/>
    </xf>
    <xf numFmtId="1" fontId="9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" fontId="6" fillId="32" borderId="15" xfId="0" applyNumberFormat="1" applyFont="1" applyFill="1" applyBorder="1" applyAlignment="1">
      <alignment wrapText="1"/>
    </xf>
    <xf numFmtId="4" fontId="6" fillId="32" borderId="16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quotePrefix="1">
      <alignment horizontal="center"/>
    </xf>
    <xf numFmtId="4" fontId="5" fillId="0" borderId="0" xfId="0" applyNumberFormat="1" applyFont="1" applyFill="1" applyBorder="1" applyAlignment="1" quotePrefix="1">
      <alignment horizontal="right"/>
    </xf>
    <xf numFmtId="0" fontId="20" fillId="0" borderId="0" xfId="0" applyFont="1" applyFill="1" applyBorder="1" applyAlignment="1">
      <alignment horizontal="right" wrapText="1"/>
    </xf>
    <xf numFmtId="4" fontId="20" fillId="0" borderId="0" xfId="0" applyNumberFormat="1" applyFont="1" applyFill="1" applyBorder="1" applyAlignment="1">
      <alignment horizontal="left" wrapText="1"/>
    </xf>
    <xf numFmtId="1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66" fontId="8" fillId="33" borderId="13" xfId="0" applyNumberFormat="1" applyFont="1" applyFill="1" applyBorder="1" applyAlignment="1">
      <alignment/>
    </xf>
    <xf numFmtId="1" fontId="6" fillId="5" borderId="13" xfId="0" applyNumberFormat="1" applyFont="1" applyFill="1" applyBorder="1" applyAlignment="1">
      <alignment horizontal="center" vertical="center" wrapText="1"/>
    </xf>
    <xf numFmtId="4" fontId="14" fillId="36" borderId="29" xfId="0" applyNumberFormat="1" applyFont="1" applyFill="1" applyBorder="1" applyAlignment="1">
      <alignment wrapText="1"/>
    </xf>
    <xf numFmtId="4" fontId="8" fillId="33" borderId="37" xfId="0" applyNumberFormat="1" applyFont="1" applyFill="1" applyBorder="1" applyAlignment="1">
      <alignment horizontal="center" wrapText="1"/>
    </xf>
    <xf numFmtId="168" fontId="8" fillId="33" borderId="11" xfId="0" applyNumberFormat="1" applyFont="1" applyFill="1" applyBorder="1" applyAlignment="1">
      <alignment horizontal="right" wrapText="1"/>
    </xf>
    <xf numFmtId="4" fontId="6" fillId="0" borderId="38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18" fillId="0" borderId="0" xfId="0" applyNumberFormat="1" applyFont="1" applyFill="1" applyBorder="1" applyAlignment="1">
      <alignment horizontal="center" wrapText="1"/>
    </xf>
    <xf numFmtId="4" fontId="6" fillId="35" borderId="19" xfId="0" applyNumberFormat="1" applyFont="1" applyFill="1" applyBorder="1" applyAlignment="1">
      <alignment wrapText="1"/>
    </xf>
    <xf numFmtId="4" fontId="6" fillId="35" borderId="18" xfId="0" applyNumberFormat="1" applyFont="1" applyFill="1" applyBorder="1" applyAlignment="1">
      <alignment wrapText="1"/>
    </xf>
    <xf numFmtId="4" fontId="6" fillId="5" borderId="14" xfId="0" applyNumberFormat="1" applyFont="1" applyFill="1" applyBorder="1" applyAlignment="1">
      <alignment wrapText="1"/>
    </xf>
    <xf numFmtId="3" fontId="6" fillId="0" borderId="0" xfId="0" applyNumberFormat="1" applyFont="1" applyAlignment="1">
      <alignment/>
    </xf>
    <xf numFmtId="0" fontId="22" fillId="0" borderId="0" xfId="0" applyFont="1" applyFill="1" applyBorder="1" applyAlignment="1">
      <alignment wrapText="1"/>
    </xf>
    <xf numFmtId="0" fontId="6" fillId="37" borderId="39" xfId="0" applyFont="1" applyFill="1" applyBorder="1" applyAlignment="1">
      <alignment horizontal="right"/>
    </xf>
    <xf numFmtId="4" fontId="6" fillId="37" borderId="4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6" fillId="38" borderId="11" xfId="0" applyNumberFormat="1" applyFont="1" applyFill="1" applyBorder="1" applyAlignment="1">
      <alignment horizontal="center" vertical="center" wrapText="1"/>
    </xf>
    <xf numFmtId="4" fontId="6" fillId="38" borderId="41" xfId="0" applyNumberFormat="1" applyFont="1" applyFill="1" applyBorder="1" applyAlignment="1">
      <alignment/>
    </xf>
    <xf numFmtId="4" fontId="1" fillId="37" borderId="42" xfId="0" applyNumberFormat="1" applyFont="1" applyFill="1" applyBorder="1" applyAlignment="1">
      <alignment/>
    </xf>
    <xf numFmtId="4" fontId="6" fillId="38" borderId="37" xfId="0" applyNumberFormat="1" applyFont="1" applyFill="1" applyBorder="1" applyAlignment="1">
      <alignment/>
    </xf>
    <xf numFmtId="4" fontId="6" fillId="34" borderId="41" xfId="0" applyNumberFormat="1" applyFont="1" applyFill="1" applyBorder="1" applyAlignment="1">
      <alignment/>
    </xf>
    <xf numFmtId="4" fontId="1" fillId="37" borderId="43" xfId="0" applyNumberFormat="1" applyFont="1" applyFill="1" applyBorder="1" applyAlignment="1">
      <alignment/>
    </xf>
    <xf numFmtId="4" fontId="1" fillId="37" borderId="44" xfId="0" applyNumberFormat="1" applyFont="1" applyFill="1" applyBorder="1" applyAlignment="1">
      <alignment/>
    </xf>
    <xf numFmtId="4" fontId="14" fillId="34" borderId="37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wrapText="1"/>
    </xf>
    <xf numFmtId="4" fontId="6" fillId="35" borderId="41" xfId="0" applyNumberFormat="1" applyFont="1" applyFill="1" applyBorder="1" applyAlignment="1">
      <alignment horizontal="center" vertical="center" wrapText="1"/>
    </xf>
    <xf numFmtId="4" fontId="17" fillId="35" borderId="15" xfId="0" applyNumberFormat="1" applyFont="1" applyFill="1" applyBorder="1" applyAlignment="1">
      <alignment horizontal="right" vertical="center" wrapText="1"/>
    </xf>
    <xf numFmtId="4" fontId="17" fillId="35" borderId="18" xfId="0" applyNumberFormat="1" applyFont="1" applyFill="1" applyBorder="1" applyAlignment="1">
      <alignment horizontal="right" vertical="center" wrapText="1"/>
    </xf>
    <xf numFmtId="4" fontId="17" fillId="35" borderId="17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4" fontId="6" fillId="35" borderId="26" xfId="0" applyNumberFormat="1" applyFont="1" applyFill="1" applyBorder="1" applyAlignment="1">
      <alignment horizontal="center" wrapText="1"/>
    </xf>
    <xf numFmtId="4" fontId="5" fillId="10" borderId="37" xfId="0" applyNumberFormat="1" applyFont="1" applyFill="1" applyBorder="1" applyAlignment="1">
      <alignment horizontal="center" wrapText="1"/>
    </xf>
    <xf numFmtId="4" fontId="5" fillId="10" borderId="13" xfId="0" applyNumberFormat="1" applyFont="1" applyFill="1" applyBorder="1" applyAlignment="1">
      <alignment horizontal="right" vertical="center" wrapText="1"/>
    </xf>
    <xf numFmtId="4" fontId="6" fillId="5" borderId="19" xfId="0" applyNumberFormat="1" applyFont="1" applyFill="1" applyBorder="1" applyAlignment="1">
      <alignment horizontal="right" wrapText="1"/>
    </xf>
    <xf numFmtId="4" fontId="6" fillId="5" borderId="29" xfId="0" applyNumberFormat="1" applyFont="1" applyFill="1" applyBorder="1" applyAlignment="1">
      <alignment horizontal="right" wrapText="1"/>
    </xf>
    <xf numFmtId="4" fontId="6" fillId="10" borderId="41" xfId="0" applyNumberFormat="1" applyFont="1" applyFill="1" applyBorder="1" applyAlignment="1">
      <alignment/>
    </xf>
    <xf numFmtId="4" fontId="6" fillId="10" borderId="37" xfId="0" applyNumberFormat="1" applyFont="1" applyFill="1" applyBorder="1" applyAlignment="1">
      <alignment/>
    </xf>
    <xf numFmtId="1" fontId="14" fillId="34" borderId="11" xfId="0" applyNumberFormat="1" applyFont="1" applyFill="1" applyBorder="1" applyAlignment="1">
      <alignment horizontal="center" vertical="center" wrapText="1"/>
    </xf>
    <xf numFmtId="4" fontId="14" fillId="34" borderId="29" xfId="0" applyNumberFormat="1" applyFont="1" applyFill="1" applyBorder="1" applyAlignment="1">
      <alignment wrapText="1"/>
    </xf>
    <xf numFmtId="0" fontId="14" fillId="34" borderId="36" xfId="0" applyFont="1" applyFill="1" applyBorder="1" applyAlignment="1">
      <alignment horizontal="right"/>
    </xf>
    <xf numFmtId="166" fontId="8" fillId="33" borderId="22" xfId="0" applyNumberFormat="1" applyFont="1" applyFill="1" applyBorder="1" applyAlignment="1">
      <alignment/>
    </xf>
    <xf numFmtId="4" fontId="5" fillId="10" borderId="37" xfId="0" applyNumberFormat="1" applyFont="1" applyFill="1" applyBorder="1" applyAlignment="1">
      <alignment horizontal="right"/>
    </xf>
    <xf numFmtId="4" fontId="5" fillId="10" borderId="11" xfId="0" applyNumberFormat="1" applyFont="1" applyFill="1" applyBorder="1" applyAlignment="1">
      <alignment/>
    </xf>
    <xf numFmtId="4" fontId="6" fillId="10" borderId="11" xfId="0" applyNumberFormat="1" applyFont="1" applyFill="1" applyBorder="1" applyAlignment="1">
      <alignment/>
    </xf>
    <xf numFmtId="3" fontId="3" fillId="34" borderId="45" xfId="0" applyNumberFormat="1" applyFont="1" applyFill="1" applyBorder="1" applyAlignment="1">
      <alignment horizontal="left"/>
    </xf>
    <xf numFmtId="4" fontId="6" fillId="10" borderId="14" xfId="0" applyNumberFormat="1" applyFont="1" applyFill="1" applyBorder="1" applyAlignment="1">
      <alignment wrapText="1"/>
    </xf>
    <xf numFmtId="4" fontId="6" fillId="10" borderId="14" xfId="0" applyNumberFormat="1" applyFont="1" applyFill="1" applyBorder="1" applyAlignment="1">
      <alignment horizontal="right" wrapText="1"/>
    </xf>
    <xf numFmtId="4" fontId="6" fillId="10" borderId="15" xfId="0" applyNumberFormat="1" applyFont="1" applyFill="1" applyBorder="1" applyAlignment="1">
      <alignment wrapText="1"/>
    </xf>
    <xf numFmtId="3" fontId="6" fillId="34" borderId="4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/>
    </xf>
    <xf numFmtId="4" fontId="18" fillId="0" borderId="44" xfId="0" applyNumberFormat="1" applyFont="1" applyFill="1" applyBorder="1" applyAlignment="1">
      <alignment horizontal="left" wrapText="1"/>
    </xf>
    <xf numFmtId="4" fontId="6" fillId="34" borderId="46" xfId="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4" fontId="1" fillId="0" borderId="41" xfId="0" applyNumberFormat="1" applyFont="1" applyFill="1" applyBorder="1" applyAlignment="1">
      <alignment/>
    </xf>
    <xf numFmtId="0" fontId="6" fillId="37" borderId="47" xfId="0" applyFont="1" applyFill="1" applyBorder="1" applyAlignment="1">
      <alignment horizontal="right"/>
    </xf>
    <xf numFmtId="4" fontId="6" fillId="37" borderId="45" xfId="0" applyNumberFormat="1" applyFont="1" applyFill="1" applyBorder="1" applyAlignment="1">
      <alignment/>
    </xf>
    <xf numFmtId="1" fontId="6" fillId="35" borderId="11" xfId="0" applyNumberFormat="1" applyFont="1" applyFill="1" applyBorder="1" applyAlignment="1">
      <alignment horizontal="center" vertical="center" wrapText="1"/>
    </xf>
    <xf numFmtId="4" fontId="6" fillId="34" borderId="43" xfId="0" applyNumberFormat="1" applyFont="1" applyFill="1" applyBorder="1" applyAlignment="1">
      <alignment/>
    </xf>
    <xf numFmtId="4" fontId="1" fillId="34" borderId="43" xfId="0" applyNumberFormat="1" applyFont="1" applyFill="1" applyBorder="1" applyAlignment="1">
      <alignment/>
    </xf>
    <xf numFmtId="4" fontId="6" fillId="34" borderId="45" xfId="0" applyNumberFormat="1" applyFont="1" applyFill="1" applyBorder="1" applyAlignment="1">
      <alignment/>
    </xf>
    <xf numFmtId="0" fontId="25" fillId="5" borderId="13" xfId="0" applyFont="1" applyFill="1" applyBorder="1" applyAlignment="1">
      <alignment horizontal="right"/>
    </xf>
    <xf numFmtId="4" fontId="6" fillId="32" borderId="17" xfId="0" applyNumberFormat="1" applyFont="1" applyFill="1" applyBorder="1" applyAlignment="1">
      <alignment wrapText="1"/>
    </xf>
    <xf numFmtId="1" fontId="6" fillId="36" borderId="1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left" wrapText="1"/>
    </xf>
    <xf numFmtId="14" fontId="14" fillId="0" borderId="0" xfId="0" applyNumberFormat="1" applyFont="1" applyAlignment="1" quotePrefix="1">
      <alignment/>
    </xf>
    <xf numFmtId="4" fontId="6" fillId="33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center" wrapText="1"/>
    </xf>
    <xf numFmtId="4" fontId="7" fillId="0" borderId="37" xfId="0" applyNumberFormat="1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4" fontId="6" fillId="3" borderId="48" xfId="0" applyNumberFormat="1" applyFont="1" applyFill="1" applyBorder="1" applyAlignment="1">
      <alignment/>
    </xf>
    <xf numFmtId="4" fontId="6" fillId="36" borderId="49" xfId="0" applyNumberFormat="1" applyFont="1" applyFill="1" applyBorder="1" applyAlignment="1">
      <alignment wrapText="1"/>
    </xf>
    <xf numFmtId="4" fontId="6" fillId="36" borderId="50" xfId="0" applyNumberFormat="1" applyFont="1" applyFill="1" applyBorder="1" applyAlignment="1">
      <alignment wrapText="1"/>
    </xf>
    <xf numFmtId="4" fontId="3" fillId="37" borderId="5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4" fontId="6" fillId="5" borderId="37" xfId="0" applyNumberFormat="1" applyFont="1" applyFill="1" applyBorder="1" applyAlignment="1">
      <alignment/>
    </xf>
    <xf numFmtId="4" fontId="18" fillId="10" borderId="37" xfId="0" applyNumberFormat="1" applyFont="1" applyFill="1" applyBorder="1" applyAlignment="1">
      <alignment horizontal="center" wrapText="1"/>
    </xf>
    <xf numFmtId="4" fontId="18" fillId="10" borderId="13" xfId="0" applyNumberFormat="1" applyFont="1" applyFill="1" applyBorder="1" applyAlignment="1">
      <alignment horizontal="right" vertical="center" wrapText="1"/>
    </xf>
    <xf numFmtId="4" fontId="5" fillId="10" borderId="41" xfId="0" applyNumberFormat="1" applyFont="1" applyFill="1" applyBorder="1" applyAlignment="1">
      <alignment/>
    </xf>
    <xf numFmtId="4" fontId="3" fillId="10" borderId="37" xfId="0" applyNumberFormat="1" applyFont="1" applyFill="1" applyBorder="1" applyAlignment="1">
      <alignment/>
    </xf>
    <xf numFmtId="4" fontId="6" fillId="32" borderId="14" xfId="0" applyNumberFormat="1" applyFont="1" applyFill="1" applyBorder="1" applyAlignment="1">
      <alignment horizontal="right" wrapText="1"/>
    </xf>
    <xf numFmtId="4" fontId="6" fillId="32" borderId="15" xfId="0" applyNumberFormat="1" applyFont="1" applyFill="1" applyBorder="1" applyAlignment="1">
      <alignment horizontal="right" wrapText="1"/>
    </xf>
    <xf numFmtId="4" fontId="28" fillId="0" borderId="0" xfId="0" applyNumberFormat="1" applyFont="1" applyFill="1" applyBorder="1" applyAlignment="1">
      <alignment/>
    </xf>
    <xf numFmtId="168" fontId="7" fillId="33" borderId="42" xfId="0" applyNumberFormat="1" applyFont="1" applyFill="1" applyBorder="1" applyAlignment="1">
      <alignment horizontal="right"/>
    </xf>
    <xf numFmtId="4" fontId="14" fillId="33" borderId="0" xfId="0" applyNumberFormat="1" applyFont="1" applyFill="1" applyBorder="1" applyAlignment="1">
      <alignment horizontal="right" wrapText="1"/>
    </xf>
    <xf numFmtId="4" fontId="6" fillId="10" borderId="0" xfId="0" applyNumberFormat="1" applyFont="1" applyFill="1" applyBorder="1" applyAlignment="1">
      <alignment horizontal="right" wrapText="1"/>
    </xf>
    <xf numFmtId="4" fontId="6" fillId="37" borderId="44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 wrapText="1"/>
    </xf>
    <xf numFmtId="4" fontId="6" fillId="0" borderId="18" xfId="0" applyNumberFormat="1" applyFont="1" applyFill="1" applyBorder="1" applyAlignment="1">
      <alignment wrapText="1"/>
    </xf>
    <xf numFmtId="4" fontId="6" fillId="33" borderId="42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 horizontal="center" wrapText="1"/>
    </xf>
    <xf numFmtId="166" fontId="10" fillId="10" borderId="13" xfId="0" applyNumberFormat="1" applyFont="1" applyFill="1" applyBorder="1" applyAlignment="1">
      <alignment horizontal="center"/>
    </xf>
    <xf numFmtId="166" fontId="10" fillId="10" borderId="41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left" vertical="center" wrapText="1"/>
    </xf>
    <xf numFmtId="4" fontId="7" fillId="3" borderId="52" xfId="0" applyNumberFormat="1" applyFont="1" applyFill="1" applyBorder="1" applyAlignment="1">
      <alignment wrapText="1"/>
    </xf>
    <xf numFmtId="4" fontId="6" fillId="33" borderId="22" xfId="0" applyNumberFormat="1" applyFont="1" applyFill="1" applyBorder="1" applyAlignment="1">
      <alignment/>
    </xf>
    <xf numFmtId="4" fontId="6" fillId="33" borderId="42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 wrapText="1"/>
    </xf>
    <xf numFmtId="4" fontId="6" fillId="10" borderId="42" xfId="0" applyNumberFormat="1" applyFont="1" applyFill="1" applyBorder="1" applyAlignment="1" quotePrefix="1">
      <alignment horizontal="center"/>
    </xf>
    <xf numFmtId="0" fontId="10" fillId="4" borderId="53" xfId="0" applyFont="1" applyFill="1" applyBorder="1" applyAlignment="1">
      <alignment/>
    </xf>
    <xf numFmtId="4" fontId="6" fillId="5" borderId="12" xfId="0" applyNumberFormat="1" applyFont="1" applyFill="1" applyBorder="1" applyAlignment="1">
      <alignment/>
    </xf>
    <xf numFmtId="4" fontId="6" fillId="32" borderId="54" xfId="0" applyNumberFormat="1" applyFont="1" applyFill="1" applyBorder="1" applyAlignment="1">
      <alignment/>
    </xf>
    <xf numFmtId="4" fontId="6" fillId="33" borderId="31" xfId="0" applyNumberFormat="1" applyFont="1" applyFill="1" applyBorder="1" applyAlignment="1">
      <alignment/>
    </xf>
    <xf numFmtId="4" fontId="6" fillId="0" borderId="55" xfId="0" applyNumberFormat="1" applyFont="1" applyFill="1" applyBorder="1" applyAlignment="1">
      <alignment/>
    </xf>
    <xf numFmtId="4" fontId="6" fillId="32" borderId="4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14" fillId="36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5" fillId="10" borderId="11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>
      <alignment horizontal="center"/>
    </xf>
    <xf numFmtId="168" fontId="8" fillId="33" borderId="37" xfId="0" applyNumberFormat="1" applyFont="1" applyFill="1" applyBorder="1" applyAlignment="1">
      <alignment horizontal="center" wrapText="1"/>
    </xf>
    <xf numFmtId="4" fontId="1" fillId="5" borderId="14" xfId="0" applyNumberFormat="1" applyFont="1" applyFill="1" applyBorder="1" applyAlignment="1">
      <alignment horizontal="right" wrapText="1"/>
    </xf>
    <xf numFmtId="4" fontId="6" fillId="5" borderId="11" xfId="0" applyNumberFormat="1" applyFont="1" applyFill="1" applyBorder="1" applyAlignment="1">
      <alignment/>
    </xf>
    <xf numFmtId="4" fontId="1" fillId="10" borderId="41" xfId="0" applyNumberFormat="1" applyFont="1" applyFill="1" applyBorder="1" applyAlignment="1">
      <alignment/>
    </xf>
    <xf numFmtId="4" fontId="8" fillId="10" borderId="37" xfId="0" applyNumberFormat="1" applyFont="1" applyFill="1" applyBorder="1" applyAlignment="1">
      <alignment wrapText="1"/>
    </xf>
    <xf numFmtId="0" fontId="19" fillId="37" borderId="14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4" fontId="6" fillId="0" borderId="26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wrapText="1"/>
    </xf>
    <xf numFmtId="4" fontId="6" fillId="40" borderId="14" xfId="0" applyNumberFormat="1" applyFont="1" applyFill="1" applyBorder="1" applyAlignment="1">
      <alignment wrapText="1"/>
    </xf>
    <xf numFmtId="4" fontId="6" fillId="41" borderId="20" xfId="0" applyNumberFormat="1" applyFont="1" applyFill="1" applyBorder="1" applyAlignment="1">
      <alignment horizontal="right" wrapText="1"/>
    </xf>
    <xf numFmtId="0" fontId="3" fillId="37" borderId="25" xfId="0" applyFont="1" applyFill="1" applyBorder="1" applyAlignment="1">
      <alignment horizontal="left"/>
    </xf>
    <xf numFmtId="4" fontId="5" fillId="41" borderId="11" xfId="0" applyNumberFormat="1" applyFont="1" applyFill="1" applyBorder="1" applyAlignment="1">
      <alignment horizontal="center" wrapText="1"/>
    </xf>
    <xf numFmtId="168" fontId="5" fillId="33" borderId="11" xfId="0" applyNumberFormat="1" applyFont="1" applyFill="1" applyBorder="1" applyAlignment="1">
      <alignment horizontal="center" wrapText="1"/>
    </xf>
    <xf numFmtId="3" fontId="14" fillId="0" borderId="37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left" wrapText="1"/>
    </xf>
    <xf numFmtId="4" fontId="6" fillId="33" borderId="22" xfId="0" applyNumberFormat="1" applyFont="1" applyFill="1" applyBorder="1" applyAlignment="1">
      <alignment horizontal="center"/>
    </xf>
    <xf numFmtId="4" fontId="6" fillId="33" borderId="44" xfId="0" applyNumberFormat="1" applyFont="1" applyFill="1" applyBorder="1" applyAlignment="1">
      <alignment horizontal="center"/>
    </xf>
    <xf numFmtId="166" fontId="10" fillId="0" borderId="13" xfId="0" applyNumberFormat="1" applyFont="1" applyFill="1" applyBorder="1" applyAlignment="1">
      <alignment horizontal="center"/>
    </xf>
    <xf numFmtId="166" fontId="10" fillId="0" borderId="41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left" wrapText="1"/>
    </xf>
    <xf numFmtId="4" fontId="6" fillId="0" borderId="41" xfId="0" applyNumberFormat="1" applyFont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4" fontId="10" fillId="10" borderId="13" xfId="0" applyNumberFormat="1" applyFont="1" applyFill="1" applyBorder="1" applyAlignment="1">
      <alignment horizontal="center" wrapText="1"/>
    </xf>
    <xf numFmtId="4" fontId="10" fillId="10" borderId="41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0"/>
  <sheetViews>
    <sheetView zoomScalePageLayoutView="0" workbookViewId="0" topLeftCell="A4">
      <selection activeCell="T4" sqref="T4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10.75390625" style="65" bestFit="1" customWidth="1"/>
    <col min="4" max="4" width="8.625" style="2" bestFit="1" customWidth="1"/>
    <col min="5" max="5" width="9.125" style="26" bestFit="1" customWidth="1"/>
    <col min="6" max="6" width="9.00390625" style="2" bestFit="1" customWidth="1"/>
    <col min="7" max="7" width="8.875" style="2" bestFit="1" customWidth="1"/>
    <col min="8" max="8" width="8.625" style="21" bestFit="1" customWidth="1"/>
    <col min="9" max="9" width="8.25390625" style="21" bestFit="1" customWidth="1"/>
    <col min="10" max="10" width="9.00390625" style="65" customWidth="1"/>
    <col min="11" max="11" width="8.875" style="21" hidden="1" customWidth="1"/>
    <col min="12" max="12" width="9.25390625" style="63" hidden="1" customWidth="1"/>
    <col min="13" max="13" width="11.25390625" style="63" customWidth="1"/>
    <col min="14" max="14" width="7.625" style="21" hidden="1" customWidth="1"/>
    <col min="15" max="15" width="8.625" style="21" hidden="1" customWidth="1"/>
    <col min="16" max="16" width="9.50390625" style="63" hidden="1" customWidth="1"/>
    <col min="17" max="17" width="8.50390625" style="63" hidden="1" customWidth="1"/>
    <col min="18" max="18" width="8.875" style="63" hidden="1" customWidth="1"/>
    <col min="19" max="19" width="8.625" style="63" hidden="1" customWidth="1"/>
    <col min="20" max="20" width="10.375" style="8" customWidth="1"/>
    <col min="21" max="21" width="10.875" style="26" customWidth="1"/>
    <col min="22" max="22" width="10.625" style="2" customWidth="1"/>
    <col min="23" max="23" width="10.625" style="1" customWidth="1"/>
    <col min="24" max="16384" width="9.00390625" style="1" customWidth="1"/>
  </cols>
  <sheetData>
    <row r="1" spans="1:23" s="3" customFormat="1" ht="14.25" customHeight="1">
      <c r="A1" s="12" t="s">
        <v>5</v>
      </c>
      <c r="B1" s="12"/>
      <c r="C1" s="64"/>
      <c r="D1" s="13"/>
      <c r="E1" s="25"/>
      <c r="F1" s="13"/>
      <c r="G1" s="13"/>
      <c r="H1" s="20"/>
      <c r="I1" s="20"/>
      <c r="J1" s="64"/>
      <c r="K1" s="20"/>
      <c r="L1" s="69"/>
      <c r="M1" s="69"/>
      <c r="N1" s="20"/>
      <c r="O1" s="20"/>
      <c r="P1" s="69"/>
      <c r="Q1" s="69"/>
      <c r="R1" s="69"/>
      <c r="S1" s="69"/>
      <c r="T1" s="12"/>
      <c r="U1" s="25"/>
      <c r="V1" s="13"/>
      <c r="W1" s="128" t="s">
        <v>65</v>
      </c>
    </row>
    <row r="2" ht="27" customHeight="1">
      <c r="A2" s="8"/>
    </row>
    <row r="3" spans="1:22" s="3" customFormat="1" ht="19.5" customHeight="1" thickBot="1">
      <c r="A3" s="12" t="s">
        <v>48</v>
      </c>
      <c r="B3" s="12"/>
      <c r="C3" s="64"/>
      <c r="D3" s="13"/>
      <c r="E3" s="25"/>
      <c r="F3" s="13"/>
      <c r="G3" s="13"/>
      <c r="H3" s="20"/>
      <c r="I3" s="20"/>
      <c r="J3" s="64"/>
      <c r="K3" s="20"/>
      <c r="L3" s="69"/>
      <c r="M3" s="69"/>
      <c r="N3" s="20"/>
      <c r="O3" s="20"/>
      <c r="P3" s="69"/>
      <c r="Q3" s="69"/>
      <c r="R3" s="69"/>
      <c r="S3" s="69"/>
      <c r="T3" s="12"/>
      <c r="U3" s="25"/>
      <c r="V3" s="13"/>
    </row>
    <row r="4" spans="1:23" s="9" customFormat="1" ht="60.75" customHeight="1" thickBot="1">
      <c r="A4" s="15" t="s">
        <v>9</v>
      </c>
      <c r="B4" s="113" t="s">
        <v>0</v>
      </c>
      <c r="C4" s="154" t="s">
        <v>54</v>
      </c>
      <c r="D4" s="18" t="s">
        <v>55</v>
      </c>
      <c r="E4" s="35" t="s">
        <v>17</v>
      </c>
      <c r="F4" s="68" t="s">
        <v>56</v>
      </c>
      <c r="G4" s="120" t="s">
        <v>31</v>
      </c>
      <c r="H4" s="18" t="s">
        <v>45</v>
      </c>
      <c r="I4" s="121" t="s">
        <v>58</v>
      </c>
      <c r="J4" s="123" t="s">
        <v>57</v>
      </c>
      <c r="K4" s="35" t="s">
        <v>18</v>
      </c>
      <c r="L4" s="68" t="s">
        <v>35</v>
      </c>
      <c r="M4" s="19" t="s">
        <v>59</v>
      </c>
      <c r="N4" s="35" t="s">
        <v>30</v>
      </c>
      <c r="O4" s="35"/>
      <c r="P4" s="35"/>
      <c r="Q4" s="68" t="s">
        <v>43</v>
      </c>
      <c r="R4" s="120" t="s">
        <v>40</v>
      </c>
      <c r="S4" s="120" t="s">
        <v>60</v>
      </c>
      <c r="T4" s="162" t="s">
        <v>61</v>
      </c>
      <c r="U4" s="189" t="s">
        <v>62</v>
      </c>
      <c r="V4" s="183" t="s">
        <v>63</v>
      </c>
      <c r="W4" s="88" t="s">
        <v>64</v>
      </c>
    </row>
    <row r="5" spans="1:23" s="5" customFormat="1" ht="26.25" customHeight="1">
      <c r="A5" s="4">
        <v>1</v>
      </c>
      <c r="B5" s="114" t="s">
        <v>7</v>
      </c>
      <c r="C5" s="130">
        <v>1088876</v>
      </c>
      <c r="D5" s="32">
        <v>100000</v>
      </c>
      <c r="E5" s="206">
        <v>83268</v>
      </c>
      <c r="F5" s="32">
        <f aca="true" t="shared" si="0" ref="F5:F11">D5-E5</f>
        <v>16732</v>
      </c>
      <c r="G5" s="32"/>
      <c r="H5" s="32">
        <v>99128.21</v>
      </c>
      <c r="I5" s="32">
        <v>0</v>
      </c>
      <c r="J5" s="158">
        <f>H5+I5</f>
        <v>99128.21</v>
      </c>
      <c r="K5" s="43"/>
      <c r="L5" s="32"/>
      <c r="M5" s="216">
        <v>105482.01589274999</v>
      </c>
      <c r="N5" s="32"/>
      <c r="O5" s="243"/>
      <c r="P5" s="32"/>
      <c r="Q5" s="32"/>
      <c r="R5" s="32"/>
      <c r="S5" s="32"/>
      <c r="T5" s="73">
        <f>E5+J5+M5</f>
        <v>287878.22589275</v>
      </c>
      <c r="U5" s="197">
        <f>T5</f>
        <v>287878.22589275</v>
      </c>
      <c r="V5" s="130">
        <f>E5</f>
        <v>83268</v>
      </c>
      <c r="W5" s="79">
        <f>-F5</f>
        <v>-16732</v>
      </c>
    </row>
    <row r="6" spans="1:23" s="5" customFormat="1" ht="26.25" customHeight="1">
      <c r="A6" s="4">
        <v>2</v>
      </c>
      <c r="B6" s="115" t="s">
        <v>8</v>
      </c>
      <c r="C6" s="131">
        <v>594486</v>
      </c>
      <c r="D6" s="33">
        <v>45200</v>
      </c>
      <c r="E6" s="207">
        <v>47870</v>
      </c>
      <c r="F6" s="171">
        <f t="shared" si="0"/>
        <v>-2670</v>
      </c>
      <c r="G6" s="32">
        <f>(C6+E6)/13</f>
        <v>49412</v>
      </c>
      <c r="H6" s="33">
        <v>45197.46</v>
      </c>
      <c r="I6" s="32">
        <f>G6*H23/100</f>
        <v>2636.4919277835565</v>
      </c>
      <c r="J6" s="159">
        <f>H6+I6</f>
        <v>47833.95192778356</v>
      </c>
      <c r="K6" s="43"/>
      <c r="L6" s="171"/>
      <c r="M6" s="216">
        <v>47975.89465215</v>
      </c>
      <c r="N6" s="216"/>
      <c r="O6" s="243"/>
      <c r="P6" s="32"/>
      <c r="Q6" s="171"/>
      <c r="R6" s="32"/>
      <c r="S6" s="32"/>
      <c r="T6" s="72">
        <f>E6+J6+M6</f>
        <v>143679.84657993354</v>
      </c>
      <c r="U6" s="198">
        <f>T6</f>
        <v>143679.84657993354</v>
      </c>
      <c r="V6" s="131">
        <f>E6</f>
        <v>47870</v>
      </c>
      <c r="W6" s="80">
        <f aca="true" t="shared" si="1" ref="W6:W11">I6</f>
        <v>2636.4919277835565</v>
      </c>
    </row>
    <row r="7" spans="1:23" s="5" customFormat="1" ht="24" customHeight="1">
      <c r="A7" s="4">
        <v>3</v>
      </c>
      <c r="B7" s="248" t="s">
        <v>34</v>
      </c>
      <c r="C7" s="131">
        <v>1146095</v>
      </c>
      <c r="D7" s="33">
        <f>25000+90</f>
        <v>25090</v>
      </c>
      <c r="E7" s="207">
        <v>98360</v>
      </c>
      <c r="F7" s="171">
        <f t="shared" si="0"/>
        <v>-73270</v>
      </c>
      <c r="G7" s="32">
        <f>(C7+E7)/13</f>
        <v>95727.30769230769</v>
      </c>
      <c r="H7" s="33">
        <f>23850.99-90</f>
        <v>23760.99</v>
      </c>
      <c r="I7" s="32">
        <f>G7*H23/100</f>
        <v>5107.752651162107</v>
      </c>
      <c r="J7" s="159">
        <f aca="true" t="shared" si="2" ref="J7:J20">H7+I7</f>
        <v>28868.74265116211</v>
      </c>
      <c r="K7" s="43"/>
      <c r="L7" s="171"/>
      <c r="M7" s="216">
        <v>26002.566345</v>
      </c>
      <c r="N7" s="216"/>
      <c r="O7" s="243"/>
      <c r="P7" s="32"/>
      <c r="Q7" s="171"/>
      <c r="R7" s="32"/>
      <c r="S7" s="32"/>
      <c r="T7" s="72">
        <f aca="true" t="shared" si="3" ref="T7:T20">E7+J7+M7</f>
        <v>153231.30899616212</v>
      </c>
      <c r="U7" s="198">
        <f aca="true" t="shared" si="4" ref="U7:U20">T7</f>
        <v>153231.30899616212</v>
      </c>
      <c r="V7" s="131">
        <f aca="true" t="shared" si="5" ref="V7:V20">E7</f>
        <v>98360</v>
      </c>
      <c r="W7" s="80">
        <f t="shared" si="1"/>
        <v>5107.752651162107</v>
      </c>
    </row>
    <row r="8" spans="1:23" s="5" customFormat="1" ht="24" customHeight="1">
      <c r="A8" s="4">
        <v>4</v>
      </c>
      <c r="B8" s="247" t="s">
        <v>52</v>
      </c>
      <c r="C8" s="131">
        <v>387795</v>
      </c>
      <c r="D8" s="33">
        <f>35000+3510</f>
        <v>38510</v>
      </c>
      <c r="E8" s="207">
        <v>119660</v>
      </c>
      <c r="F8" s="171">
        <f t="shared" si="0"/>
        <v>-81150</v>
      </c>
      <c r="G8" s="32">
        <f>(C8+E8)/4</f>
        <v>126863.75</v>
      </c>
      <c r="H8" s="33">
        <f>35062.2-3510</f>
        <v>31552.199999999997</v>
      </c>
      <c r="I8" s="32">
        <f>G8*H23/100</f>
        <v>6769.109787164073</v>
      </c>
      <c r="J8" s="159">
        <f t="shared" si="2"/>
        <v>38321.30978716407</v>
      </c>
      <c r="K8" s="43"/>
      <c r="L8" s="171"/>
      <c r="M8" s="216">
        <v>37054.885193999995</v>
      </c>
      <c r="N8" s="216"/>
      <c r="O8" s="243"/>
      <c r="P8" s="32"/>
      <c r="Q8" s="171"/>
      <c r="R8" s="32"/>
      <c r="S8" s="32"/>
      <c r="T8" s="72">
        <f t="shared" si="3"/>
        <v>195036.19498116407</v>
      </c>
      <c r="U8" s="198">
        <f t="shared" si="4"/>
        <v>195036.19498116407</v>
      </c>
      <c r="V8" s="131">
        <f t="shared" si="5"/>
        <v>119660</v>
      </c>
      <c r="W8" s="80">
        <f t="shared" si="1"/>
        <v>6769.109787164073</v>
      </c>
    </row>
    <row r="9" spans="1:23" s="5" customFormat="1" ht="24" customHeight="1">
      <c r="A9" s="4">
        <v>5</v>
      </c>
      <c r="B9" s="247" t="s">
        <v>53</v>
      </c>
      <c r="C9" s="131">
        <v>151115</v>
      </c>
      <c r="D9" s="33">
        <v>14200</v>
      </c>
      <c r="E9" s="207">
        <v>41205</v>
      </c>
      <c r="F9" s="171">
        <f t="shared" si="0"/>
        <v>-27005</v>
      </c>
      <c r="G9" s="32">
        <f>(C9+E9)/4</f>
        <v>48080</v>
      </c>
      <c r="H9" s="33">
        <v>14148.32</v>
      </c>
      <c r="I9" s="32">
        <f>G9*H23/100</f>
        <v>2565.419976682454</v>
      </c>
      <c r="J9" s="159">
        <f t="shared" si="2"/>
        <v>16713.739976682453</v>
      </c>
      <c r="K9" s="43"/>
      <c r="L9" s="171"/>
      <c r="M9" s="216">
        <v>19474.582951589997</v>
      </c>
      <c r="N9" s="216"/>
      <c r="O9" s="243"/>
      <c r="P9" s="32"/>
      <c r="Q9" s="171"/>
      <c r="R9" s="32"/>
      <c r="S9" s="32"/>
      <c r="T9" s="72">
        <f t="shared" si="3"/>
        <v>77393.32292827245</v>
      </c>
      <c r="U9" s="198">
        <f t="shared" si="4"/>
        <v>77393.32292827245</v>
      </c>
      <c r="V9" s="131">
        <f t="shared" si="5"/>
        <v>41205</v>
      </c>
      <c r="W9" s="80">
        <f t="shared" si="1"/>
        <v>2565.419976682454</v>
      </c>
    </row>
    <row r="10" spans="1:23" s="5" customFormat="1" ht="26.25" customHeight="1">
      <c r="A10" s="4">
        <v>6</v>
      </c>
      <c r="B10" s="115" t="s">
        <v>6</v>
      </c>
      <c r="C10" s="131">
        <v>161004</v>
      </c>
      <c r="D10" s="33">
        <f>12500+1249</f>
        <v>13749</v>
      </c>
      <c r="E10" s="207">
        <v>13749</v>
      </c>
      <c r="F10" s="216">
        <f t="shared" si="0"/>
        <v>0</v>
      </c>
      <c r="G10" s="32">
        <f>(C10+E10)/13</f>
        <v>13442.538461538461</v>
      </c>
      <c r="H10" s="33">
        <f>12334.88-1249</f>
        <v>11085.88</v>
      </c>
      <c r="I10" s="32">
        <f>G10*H23/100</f>
        <v>717.2578349948625</v>
      </c>
      <c r="J10" s="159">
        <f t="shared" si="2"/>
        <v>11803.13783499486</v>
      </c>
      <c r="K10" s="43"/>
      <c r="L10" s="32"/>
      <c r="M10" s="216">
        <v>13134.809083589998</v>
      </c>
      <c r="N10" s="216"/>
      <c r="O10" s="243"/>
      <c r="P10" s="32"/>
      <c r="Q10" s="32"/>
      <c r="R10" s="32"/>
      <c r="S10" s="32"/>
      <c r="T10" s="72">
        <f t="shared" si="3"/>
        <v>38686.94691858486</v>
      </c>
      <c r="U10" s="198">
        <f t="shared" si="4"/>
        <v>38686.94691858486</v>
      </c>
      <c r="V10" s="131">
        <f t="shared" si="5"/>
        <v>13749</v>
      </c>
      <c r="W10" s="80">
        <f t="shared" si="1"/>
        <v>717.2578349948625</v>
      </c>
    </row>
    <row r="11" spans="1:23" s="5" customFormat="1" ht="26.25" customHeight="1">
      <c r="A11" s="4">
        <v>7</v>
      </c>
      <c r="B11" s="115" t="s">
        <v>10</v>
      </c>
      <c r="C11" s="131">
        <v>107875</v>
      </c>
      <c r="D11" s="33">
        <v>7600</v>
      </c>
      <c r="E11" s="207">
        <v>8090</v>
      </c>
      <c r="F11" s="171">
        <f t="shared" si="0"/>
        <v>-490</v>
      </c>
      <c r="G11" s="32">
        <f>(C11+E11)/13</f>
        <v>8920.384615384615</v>
      </c>
      <c r="H11" s="33">
        <v>7512.97</v>
      </c>
      <c r="I11" s="32">
        <f>G11*H23/100</f>
        <v>475.96782221294757</v>
      </c>
      <c r="J11" s="159">
        <f t="shared" si="2"/>
        <v>7988.937822212948</v>
      </c>
      <c r="K11" s="43"/>
      <c r="L11" s="171"/>
      <c r="M11" s="216">
        <v>7993.03386375</v>
      </c>
      <c r="N11" s="216"/>
      <c r="O11" s="243"/>
      <c r="P11" s="32"/>
      <c r="Q11" s="171"/>
      <c r="R11" s="32"/>
      <c r="S11" s="32"/>
      <c r="T11" s="72">
        <f t="shared" si="3"/>
        <v>24071.971685962948</v>
      </c>
      <c r="U11" s="198">
        <f t="shared" si="4"/>
        <v>24071.971685962948</v>
      </c>
      <c r="V11" s="131">
        <f t="shared" si="5"/>
        <v>8090</v>
      </c>
      <c r="W11" s="80">
        <f t="shared" si="1"/>
        <v>475.96782221294757</v>
      </c>
    </row>
    <row r="12" spans="1:23" s="5" customFormat="1" ht="20.25" customHeight="1">
      <c r="A12" s="4"/>
      <c r="B12" s="116" t="s">
        <v>1</v>
      </c>
      <c r="C12" s="45">
        <f>SUM(C5:C11)</f>
        <v>3637246</v>
      </c>
      <c r="D12" s="45">
        <f aca="true" t="shared" si="6" ref="D12:W12">SUM(D5:D11)</f>
        <v>244349</v>
      </c>
      <c r="E12" s="45">
        <f t="shared" si="6"/>
        <v>412202</v>
      </c>
      <c r="F12" s="45">
        <f>F5</f>
        <v>16732</v>
      </c>
      <c r="G12" s="45">
        <f t="shared" si="6"/>
        <v>342445.98076923075</v>
      </c>
      <c r="H12" s="45">
        <f t="shared" si="6"/>
        <v>232386.03</v>
      </c>
      <c r="I12" s="45">
        <f t="shared" si="6"/>
        <v>18272</v>
      </c>
      <c r="J12" s="45">
        <f t="shared" si="6"/>
        <v>250658.03000000003</v>
      </c>
      <c r="K12" s="45">
        <f t="shared" si="6"/>
        <v>0</v>
      </c>
      <c r="L12" s="45">
        <f t="shared" si="6"/>
        <v>0</v>
      </c>
      <c r="M12" s="45">
        <f t="shared" si="6"/>
        <v>257117.78798282996</v>
      </c>
      <c r="N12" s="45">
        <f aca="true" t="shared" si="7" ref="N12:V12">SUM(N5:N11)</f>
        <v>0</v>
      </c>
      <c r="O12" s="45">
        <f t="shared" si="7"/>
        <v>0</v>
      </c>
      <c r="P12" s="45">
        <f t="shared" si="7"/>
        <v>0</v>
      </c>
      <c r="Q12" s="45">
        <f t="shared" si="7"/>
        <v>0</v>
      </c>
      <c r="R12" s="45">
        <f t="shared" si="7"/>
        <v>0</v>
      </c>
      <c r="S12" s="45">
        <f t="shared" si="7"/>
        <v>0</v>
      </c>
      <c r="T12" s="45">
        <f t="shared" si="7"/>
        <v>919977.81798283</v>
      </c>
      <c r="U12" s="45">
        <f t="shared" si="7"/>
        <v>919977.81798283</v>
      </c>
      <c r="V12" s="45">
        <f t="shared" si="7"/>
        <v>412202</v>
      </c>
      <c r="W12" s="45">
        <f t="shared" si="6"/>
        <v>1540.0000000000007</v>
      </c>
    </row>
    <row r="13" spans="1:23" s="5" customFormat="1" ht="22.5" customHeight="1">
      <c r="A13" s="4">
        <v>8</v>
      </c>
      <c r="B13" s="54" t="s">
        <v>20</v>
      </c>
      <c r="C13" s="131">
        <v>14880</v>
      </c>
      <c r="D13" s="24">
        <v>1380</v>
      </c>
      <c r="E13" s="93">
        <v>1380</v>
      </c>
      <c r="F13" s="32">
        <f aca="true" t="shared" si="8" ref="F13:F20">D13-E13</f>
        <v>0</v>
      </c>
      <c r="G13" s="32"/>
      <c r="H13" s="24">
        <v>1293.32</v>
      </c>
      <c r="I13" s="23"/>
      <c r="J13" s="159">
        <f t="shared" si="2"/>
        <v>1293.32</v>
      </c>
      <c r="K13" s="43"/>
      <c r="L13" s="32"/>
      <c r="M13" s="32">
        <v>1413.8788790099998</v>
      </c>
      <c r="N13" s="32"/>
      <c r="O13" s="243"/>
      <c r="P13" s="32"/>
      <c r="Q13" s="32"/>
      <c r="R13" s="32"/>
      <c r="S13" s="32"/>
      <c r="T13" s="72">
        <f t="shared" si="3"/>
        <v>4087.1988790099995</v>
      </c>
      <c r="U13" s="198">
        <f t="shared" si="4"/>
        <v>4087.1988790099995</v>
      </c>
      <c r="V13" s="131">
        <f t="shared" si="5"/>
        <v>1380</v>
      </c>
      <c r="W13" s="80">
        <f>N13-L13</f>
        <v>0</v>
      </c>
    </row>
    <row r="14" spans="1:23" s="27" customFormat="1" ht="21" customHeight="1">
      <c r="A14" s="4">
        <v>9</v>
      </c>
      <c r="B14" s="54" t="s">
        <v>21</v>
      </c>
      <c r="C14" s="131">
        <v>7740</v>
      </c>
      <c r="D14" s="24">
        <v>780</v>
      </c>
      <c r="E14" s="93">
        <v>780</v>
      </c>
      <c r="F14" s="32">
        <f t="shared" si="8"/>
        <v>0</v>
      </c>
      <c r="G14" s="32"/>
      <c r="H14" s="24">
        <v>740.08</v>
      </c>
      <c r="I14" s="23"/>
      <c r="J14" s="159">
        <f t="shared" si="2"/>
        <v>740.08</v>
      </c>
      <c r="K14" s="43"/>
      <c r="L14" s="32"/>
      <c r="M14" s="32">
        <v>803.94891033</v>
      </c>
      <c r="N14" s="32"/>
      <c r="O14" s="243"/>
      <c r="P14" s="32"/>
      <c r="Q14" s="32"/>
      <c r="R14" s="32"/>
      <c r="S14" s="32"/>
      <c r="T14" s="72">
        <f t="shared" si="3"/>
        <v>2324.02891033</v>
      </c>
      <c r="U14" s="198">
        <f t="shared" si="4"/>
        <v>2324.02891033</v>
      </c>
      <c r="V14" s="131">
        <f t="shared" si="5"/>
        <v>780</v>
      </c>
      <c r="W14" s="80">
        <f>N14-L14</f>
        <v>0</v>
      </c>
    </row>
    <row r="15" spans="1:23" s="27" customFormat="1" ht="22.5" customHeight="1">
      <c r="A15" s="4">
        <v>10</v>
      </c>
      <c r="B15" s="54" t="s">
        <v>16</v>
      </c>
      <c r="C15" s="131">
        <v>10260</v>
      </c>
      <c r="D15" s="24">
        <v>960</v>
      </c>
      <c r="E15" s="93">
        <v>960</v>
      </c>
      <c r="F15" s="32">
        <f t="shared" si="8"/>
        <v>0</v>
      </c>
      <c r="G15" s="32"/>
      <c r="H15" s="24">
        <v>925.89</v>
      </c>
      <c r="I15" s="23"/>
      <c r="J15" s="159">
        <f t="shared" si="2"/>
        <v>925.89</v>
      </c>
      <c r="K15" s="43"/>
      <c r="L15" s="32"/>
      <c r="M15" s="32">
        <v>997.42131975</v>
      </c>
      <c r="N15" s="32"/>
      <c r="O15" s="243"/>
      <c r="P15" s="32"/>
      <c r="Q15" s="32"/>
      <c r="R15" s="32"/>
      <c r="S15" s="32"/>
      <c r="T15" s="72">
        <f t="shared" si="3"/>
        <v>2883.3113197499997</v>
      </c>
      <c r="U15" s="198">
        <f t="shared" si="4"/>
        <v>2883.3113197499997</v>
      </c>
      <c r="V15" s="131">
        <f t="shared" si="5"/>
        <v>960</v>
      </c>
      <c r="W15" s="80">
        <f>N15-L15</f>
        <v>0</v>
      </c>
    </row>
    <row r="16" spans="1:23" s="27" customFormat="1" ht="22.5" customHeight="1">
      <c r="A16" s="4">
        <v>11</v>
      </c>
      <c r="B16" s="54" t="s">
        <v>19</v>
      </c>
      <c r="C16" s="131">
        <v>7680</v>
      </c>
      <c r="D16" s="24">
        <v>780</v>
      </c>
      <c r="E16" s="93">
        <v>780</v>
      </c>
      <c r="F16" s="32">
        <f t="shared" si="8"/>
        <v>0</v>
      </c>
      <c r="G16" s="32"/>
      <c r="H16" s="24">
        <v>754.55</v>
      </c>
      <c r="I16" s="23"/>
      <c r="J16" s="159">
        <f t="shared" si="2"/>
        <v>754.55</v>
      </c>
      <c r="K16" s="43"/>
      <c r="L16" s="32"/>
      <c r="M16" s="32">
        <v>811.6003615499999</v>
      </c>
      <c r="N16" s="32"/>
      <c r="O16" s="243"/>
      <c r="P16" s="32"/>
      <c r="Q16" s="32"/>
      <c r="R16" s="32"/>
      <c r="S16" s="32"/>
      <c r="T16" s="72">
        <f t="shared" si="3"/>
        <v>2346.1503615499996</v>
      </c>
      <c r="U16" s="198">
        <f t="shared" si="4"/>
        <v>2346.1503615499996</v>
      </c>
      <c r="V16" s="131">
        <f t="shared" si="5"/>
        <v>780</v>
      </c>
      <c r="W16" s="80">
        <f>N16-L16</f>
        <v>0</v>
      </c>
    </row>
    <row r="17" spans="1:23" s="5" customFormat="1" ht="23.25" customHeight="1">
      <c r="A17" s="4">
        <v>12</v>
      </c>
      <c r="B17" s="54" t="s">
        <v>22</v>
      </c>
      <c r="C17" s="131">
        <v>31035</v>
      </c>
      <c r="D17" s="24">
        <v>2790</v>
      </c>
      <c r="E17" s="93">
        <v>2790</v>
      </c>
      <c r="F17" s="32">
        <f t="shared" si="8"/>
        <v>0</v>
      </c>
      <c r="G17" s="32"/>
      <c r="H17" s="24">
        <v>2790.18</v>
      </c>
      <c r="I17" s="24"/>
      <c r="J17" s="159">
        <f t="shared" si="2"/>
        <v>2790.18</v>
      </c>
      <c r="K17" s="70"/>
      <c r="L17" s="32"/>
      <c r="M17" s="32">
        <v>2951.274042</v>
      </c>
      <c r="N17" s="32"/>
      <c r="O17" s="243"/>
      <c r="P17" s="32"/>
      <c r="Q17" s="32"/>
      <c r="R17" s="32"/>
      <c r="S17" s="32"/>
      <c r="T17" s="72">
        <f t="shared" si="3"/>
        <v>8531.454042000001</v>
      </c>
      <c r="U17" s="198">
        <f t="shared" si="4"/>
        <v>8531.454042000001</v>
      </c>
      <c r="V17" s="131">
        <f t="shared" si="5"/>
        <v>2790</v>
      </c>
      <c r="W17" s="80">
        <f>N17-L17</f>
        <v>0</v>
      </c>
    </row>
    <row r="18" spans="1:23" s="27" customFormat="1" ht="22.5" customHeight="1">
      <c r="A18" s="4">
        <v>13</v>
      </c>
      <c r="B18" s="54" t="s">
        <v>13</v>
      </c>
      <c r="C18" s="131">
        <v>22600</v>
      </c>
      <c r="D18" s="24">
        <v>2500</v>
      </c>
      <c r="E18" s="93">
        <v>2160</v>
      </c>
      <c r="F18" s="32">
        <f t="shared" si="8"/>
        <v>340</v>
      </c>
      <c r="G18" s="32"/>
      <c r="H18" s="24">
        <v>2356.82</v>
      </c>
      <c r="I18" s="23"/>
      <c r="J18" s="159">
        <f t="shared" si="2"/>
        <v>2356.82</v>
      </c>
      <c r="K18" s="43"/>
      <c r="L18" s="32"/>
      <c r="M18" s="32">
        <v>2568.701481</v>
      </c>
      <c r="N18" s="32"/>
      <c r="O18" s="243"/>
      <c r="P18" s="32"/>
      <c r="Q18" s="32"/>
      <c r="R18" s="32"/>
      <c r="S18" s="32"/>
      <c r="T18" s="72">
        <f t="shared" si="3"/>
        <v>7085.521481</v>
      </c>
      <c r="U18" s="198">
        <f t="shared" si="4"/>
        <v>7085.521481</v>
      </c>
      <c r="V18" s="131">
        <f t="shared" si="5"/>
        <v>2160</v>
      </c>
      <c r="W18" s="80">
        <f>-F18</f>
        <v>-340</v>
      </c>
    </row>
    <row r="19" spans="1:23" s="5" customFormat="1" ht="22.5" customHeight="1">
      <c r="A19" s="4">
        <v>14</v>
      </c>
      <c r="B19" s="54" t="s">
        <v>23</v>
      </c>
      <c r="C19" s="131">
        <v>6000</v>
      </c>
      <c r="D19" s="24">
        <v>1500</v>
      </c>
      <c r="E19" s="93">
        <v>300</v>
      </c>
      <c r="F19" s="32">
        <f t="shared" si="8"/>
        <v>1200</v>
      </c>
      <c r="G19" s="32"/>
      <c r="H19" s="24">
        <v>1496.76</v>
      </c>
      <c r="I19" s="23"/>
      <c r="J19" s="159">
        <f t="shared" si="2"/>
        <v>1496.76</v>
      </c>
      <c r="K19" s="43"/>
      <c r="L19" s="32"/>
      <c r="M19" s="32">
        <v>1584.9434669999998</v>
      </c>
      <c r="N19" s="32"/>
      <c r="O19" s="243"/>
      <c r="P19" s="32"/>
      <c r="Q19" s="32"/>
      <c r="R19" s="32"/>
      <c r="S19" s="32"/>
      <c r="T19" s="72">
        <f t="shared" si="3"/>
        <v>3381.703467</v>
      </c>
      <c r="U19" s="198">
        <f t="shared" si="4"/>
        <v>3381.703467</v>
      </c>
      <c r="V19" s="131">
        <f t="shared" si="5"/>
        <v>300</v>
      </c>
      <c r="W19" s="80">
        <f>-F19</f>
        <v>-1200</v>
      </c>
    </row>
    <row r="20" spans="1:23" s="5" customFormat="1" ht="22.5" customHeight="1" thickBot="1">
      <c r="A20" s="4">
        <v>15</v>
      </c>
      <c r="B20" s="54" t="s">
        <v>24</v>
      </c>
      <c r="C20" s="131">
        <v>98965</v>
      </c>
      <c r="D20" s="30">
        <v>11100</v>
      </c>
      <c r="E20" s="94">
        <v>11100</v>
      </c>
      <c r="F20" s="32">
        <f t="shared" si="8"/>
        <v>0</v>
      </c>
      <c r="G20" s="59"/>
      <c r="H20" s="30">
        <v>11117.37</v>
      </c>
      <c r="I20" s="52"/>
      <c r="J20" s="159">
        <f t="shared" si="2"/>
        <v>11117.37</v>
      </c>
      <c r="K20" s="44"/>
      <c r="L20" s="32"/>
      <c r="M20" s="59">
        <v>11750.442944999999</v>
      </c>
      <c r="N20" s="59"/>
      <c r="O20" s="243"/>
      <c r="P20" s="59"/>
      <c r="Q20" s="59"/>
      <c r="R20" s="59"/>
      <c r="S20" s="59"/>
      <c r="T20" s="72">
        <f t="shared" si="3"/>
        <v>33967.812945</v>
      </c>
      <c r="U20" s="198">
        <f t="shared" si="4"/>
        <v>33967.812945</v>
      </c>
      <c r="V20" s="131">
        <f t="shared" si="5"/>
        <v>11100</v>
      </c>
      <c r="W20" s="80">
        <f>N20-L20</f>
        <v>0</v>
      </c>
    </row>
    <row r="21" spans="1:23" s="10" customFormat="1" ht="23.25" customHeight="1">
      <c r="A21" s="60"/>
      <c r="B21" s="117" t="s">
        <v>11</v>
      </c>
      <c r="C21" s="46">
        <f>SUM(C13:C20)</f>
        <v>199160</v>
      </c>
      <c r="D21" s="46">
        <f aca="true" t="shared" si="9" ref="D21:W21">SUM(D13:D20)</f>
        <v>21790</v>
      </c>
      <c r="E21" s="46">
        <f t="shared" si="9"/>
        <v>20250</v>
      </c>
      <c r="F21" s="46">
        <f t="shared" si="9"/>
        <v>1540</v>
      </c>
      <c r="G21" s="46">
        <f t="shared" si="9"/>
        <v>0</v>
      </c>
      <c r="H21" s="46">
        <f t="shared" si="9"/>
        <v>21474.97</v>
      </c>
      <c r="I21" s="46">
        <f t="shared" si="9"/>
        <v>0</v>
      </c>
      <c r="J21" s="46">
        <f t="shared" si="9"/>
        <v>21474.97</v>
      </c>
      <c r="K21" s="46">
        <f t="shared" si="9"/>
        <v>0</v>
      </c>
      <c r="L21" s="46">
        <f t="shared" si="9"/>
        <v>0</v>
      </c>
      <c r="M21" s="46">
        <f t="shared" si="9"/>
        <v>22882.211405639995</v>
      </c>
      <c r="N21" s="46">
        <f t="shared" si="9"/>
        <v>0</v>
      </c>
      <c r="O21" s="46">
        <f t="shared" si="9"/>
        <v>0</v>
      </c>
      <c r="P21" s="46">
        <f t="shared" si="9"/>
        <v>0</v>
      </c>
      <c r="Q21" s="46">
        <f t="shared" si="9"/>
        <v>0</v>
      </c>
      <c r="R21" s="46">
        <f t="shared" si="9"/>
        <v>0</v>
      </c>
      <c r="S21" s="46">
        <f t="shared" si="9"/>
        <v>0</v>
      </c>
      <c r="T21" s="46">
        <f t="shared" si="9"/>
        <v>64607.181405639996</v>
      </c>
      <c r="U21" s="46">
        <f t="shared" si="9"/>
        <v>64607.181405639996</v>
      </c>
      <c r="V21" s="46">
        <f t="shared" si="9"/>
        <v>20250</v>
      </c>
      <c r="W21" s="46">
        <f t="shared" si="9"/>
        <v>-1540</v>
      </c>
    </row>
    <row r="22" spans="1:23" s="10" customFormat="1" ht="20.25" customHeight="1" thickBot="1">
      <c r="A22" s="61"/>
      <c r="B22" s="118" t="s">
        <v>39</v>
      </c>
      <c r="C22" s="47">
        <f>C12+C21</f>
        <v>3836406</v>
      </c>
      <c r="D22" s="47">
        <f aca="true" t="shared" si="10" ref="D22:W22">D12+D21</f>
        <v>266139</v>
      </c>
      <c r="E22" s="47">
        <f t="shared" si="10"/>
        <v>432452</v>
      </c>
      <c r="F22" s="252">
        <f t="shared" si="10"/>
        <v>18272</v>
      </c>
      <c r="G22" s="47">
        <f t="shared" si="10"/>
        <v>342445.98076923075</v>
      </c>
      <c r="H22" s="47">
        <f t="shared" si="10"/>
        <v>253861</v>
      </c>
      <c r="I22" s="252">
        <f t="shared" si="10"/>
        <v>18272</v>
      </c>
      <c r="J22" s="47">
        <f t="shared" si="10"/>
        <v>272133</v>
      </c>
      <c r="K22" s="47">
        <f t="shared" si="10"/>
        <v>0</v>
      </c>
      <c r="L22" s="47">
        <f t="shared" si="10"/>
        <v>0</v>
      </c>
      <c r="M22" s="47">
        <f t="shared" si="10"/>
        <v>279999.99938846997</v>
      </c>
      <c r="N22" s="47">
        <f t="shared" si="10"/>
        <v>0</v>
      </c>
      <c r="O22" s="47">
        <f t="shared" si="10"/>
        <v>0</v>
      </c>
      <c r="P22" s="47">
        <f t="shared" si="10"/>
        <v>0</v>
      </c>
      <c r="Q22" s="47">
        <f t="shared" si="10"/>
        <v>0</v>
      </c>
      <c r="R22" s="47">
        <f t="shared" si="10"/>
        <v>0</v>
      </c>
      <c r="S22" s="47">
        <f t="shared" si="10"/>
        <v>0</v>
      </c>
      <c r="T22" s="47">
        <f t="shared" si="10"/>
        <v>984584.99938847</v>
      </c>
      <c r="U22" s="47">
        <f t="shared" si="10"/>
        <v>984584.99938847</v>
      </c>
      <c r="V22" s="47">
        <f t="shared" si="10"/>
        <v>432452</v>
      </c>
      <c r="W22" s="47">
        <f t="shared" si="10"/>
        <v>0</v>
      </c>
    </row>
    <row r="23" spans="1:68" s="71" customFormat="1" ht="34.5" customHeight="1" thickBot="1">
      <c r="A23" s="16"/>
      <c r="B23" s="17"/>
      <c r="C23" s="157" t="s">
        <v>36</v>
      </c>
      <c r="D23" s="156"/>
      <c r="E23" s="167">
        <f>-(F6+F7+F8+F9+F11)</f>
        <v>184585</v>
      </c>
      <c r="F23" s="125"/>
      <c r="G23" s="122" t="s">
        <v>32</v>
      </c>
      <c r="H23" s="126">
        <f>F22*100/G22</f>
        <v>5.335732064647367</v>
      </c>
      <c r="I23" s="22"/>
      <c r="J23" s="221" t="s">
        <v>50</v>
      </c>
      <c r="K23" s="222">
        <f>-(L6+L7+L11)</f>
        <v>0</v>
      </c>
      <c r="L23" s="122" t="s">
        <v>32</v>
      </c>
      <c r="M23" s="242">
        <f>L22*100/M22</f>
        <v>0</v>
      </c>
      <c r="N23" s="210"/>
      <c r="O23" s="210"/>
      <c r="P23" s="223"/>
      <c r="Q23" s="211">
        <f>-(Q6+Q7+Q11)</f>
        <v>0</v>
      </c>
      <c r="R23" s="257" t="s">
        <v>42</v>
      </c>
      <c r="S23" s="257"/>
      <c r="T23" s="129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</row>
    <row r="24" spans="2:22" s="103" customFormat="1" ht="36" customHeight="1" hidden="1" thickBot="1">
      <c r="B24" s="104"/>
      <c r="C24" s="105"/>
      <c r="D24" s="75"/>
      <c r="E24" s="107"/>
      <c r="F24" s="75"/>
      <c r="G24" s="75"/>
      <c r="H24" s="106"/>
      <c r="I24" s="106"/>
      <c r="J24" s="105"/>
      <c r="K24" s="106"/>
      <c r="L24" s="258" t="s">
        <v>41</v>
      </c>
      <c r="M24" s="259"/>
      <c r="N24" s="215"/>
      <c r="O24" s="215"/>
      <c r="P24" s="249" t="e">
        <f>#REF!+Q22</f>
        <v>#REF!</v>
      </c>
      <c r="Q24" s="165" t="s">
        <v>32</v>
      </c>
      <c r="R24" s="209" t="e">
        <f>P24*100/R22</f>
        <v>#REF!</v>
      </c>
      <c r="S24" s="106"/>
      <c r="T24" s="104"/>
      <c r="U24" s="192" t="e">
        <f>#REF!+#REF!+#REF!</f>
        <v>#REF!</v>
      </c>
      <c r="V24" s="75"/>
    </row>
    <row r="25" spans="2:22" s="92" customFormat="1" ht="33" customHeight="1" thickBot="1">
      <c r="B25" s="108"/>
      <c r="C25" s="86"/>
      <c r="D25" s="34"/>
      <c r="E25" s="81"/>
      <c r="F25" s="34"/>
      <c r="G25" s="34"/>
      <c r="H25" s="86"/>
      <c r="I25" s="86"/>
      <c r="J25" s="39"/>
      <c r="K25" s="260"/>
      <c r="L25" s="261"/>
      <c r="M25" s="241"/>
      <c r="N25" s="86"/>
      <c r="O25" s="86"/>
      <c r="P25" s="86"/>
      <c r="Q25" s="86"/>
      <c r="R25" s="86"/>
      <c r="S25" s="86"/>
      <c r="T25" s="82"/>
      <c r="U25" s="81"/>
      <c r="V25" s="34"/>
    </row>
    <row r="26" spans="2:22" s="92" customFormat="1" ht="12.75">
      <c r="B26" s="109"/>
      <c r="C26" s="110"/>
      <c r="D26" s="34"/>
      <c r="E26" s="81"/>
      <c r="F26" s="34"/>
      <c r="G26" s="34"/>
      <c r="H26" s="86"/>
      <c r="I26" s="86"/>
      <c r="J26" s="39"/>
      <c r="K26" s="86"/>
      <c r="L26" s="86"/>
      <c r="M26" s="86"/>
      <c r="N26" s="86"/>
      <c r="O26" s="86"/>
      <c r="P26" s="86"/>
      <c r="Q26" s="86"/>
      <c r="R26" s="86"/>
      <c r="S26" s="86"/>
      <c r="T26" s="82"/>
      <c r="U26" s="81"/>
      <c r="V26" s="34"/>
    </row>
    <row r="27" spans="2:22" s="92" customFormat="1" ht="12.75">
      <c r="B27" s="82"/>
      <c r="C27" s="39"/>
      <c r="D27" s="34"/>
      <c r="E27" s="81"/>
      <c r="F27" s="34"/>
      <c r="G27" s="34"/>
      <c r="H27" s="86"/>
      <c r="I27" s="86"/>
      <c r="J27" s="39"/>
      <c r="K27" s="86"/>
      <c r="L27" s="86"/>
      <c r="M27" s="86"/>
      <c r="N27" s="86"/>
      <c r="O27" s="86"/>
      <c r="P27" s="86"/>
      <c r="Q27" s="86"/>
      <c r="R27" s="86"/>
      <c r="S27" s="86"/>
      <c r="T27" s="82"/>
      <c r="U27" s="81"/>
      <c r="V27" s="34"/>
    </row>
    <row r="28" spans="2:22" s="92" customFormat="1" ht="12.75">
      <c r="B28" s="85"/>
      <c r="C28" s="84"/>
      <c r="D28" s="99"/>
      <c r="E28" s="95"/>
      <c r="F28" s="84"/>
      <c r="G28" s="84"/>
      <c r="H28" s="100"/>
      <c r="I28" s="100"/>
      <c r="J28" s="84"/>
      <c r="K28" s="100"/>
      <c r="L28" s="100"/>
      <c r="M28" s="100"/>
      <c r="N28" s="100"/>
      <c r="O28" s="100"/>
      <c r="P28" s="100"/>
      <c r="Q28" s="100"/>
      <c r="R28" s="100"/>
      <c r="S28" s="100"/>
      <c r="T28" s="95"/>
      <c r="U28" s="111"/>
      <c r="V28" s="112"/>
    </row>
    <row r="29" spans="2:22" s="92" customFormat="1" ht="15.75" customHeight="1">
      <c r="B29" s="85"/>
      <c r="C29" s="84"/>
      <c r="D29" s="99"/>
      <c r="E29" s="208"/>
      <c r="F29" s="99"/>
      <c r="G29" s="99"/>
      <c r="H29" s="100"/>
      <c r="I29" s="100"/>
      <c r="J29" s="84"/>
      <c r="K29" s="100"/>
      <c r="L29" s="100"/>
      <c r="M29" s="100"/>
      <c r="N29" s="100"/>
      <c r="O29" s="100"/>
      <c r="P29" s="100"/>
      <c r="Q29" s="100"/>
      <c r="R29" s="100"/>
      <c r="S29" s="100"/>
      <c r="T29" s="95"/>
      <c r="U29" s="95"/>
      <c r="V29" s="99"/>
    </row>
    <row r="30" spans="2:22" s="92" customFormat="1" ht="15" customHeight="1">
      <c r="B30" s="101"/>
      <c r="C30" s="84"/>
      <c r="D30" s="99"/>
      <c r="E30" s="95"/>
      <c r="F30" s="99"/>
      <c r="G30" s="99"/>
      <c r="H30" s="100"/>
      <c r="I30" s="100"/>
      <c r="J30" s="84"/>
      <c r="K30" s="99"/>
      <c r="L30" s="100"/>
      <c r="M30" s="100"/>
      <c r="N30" s="100"/>
      <c r="O30" s="100"/>
      <c r="P30" s="100"/>
      <c r="Q30" s="100"/>
      <c r="R30" s="100"/>
      <c r="S30" s="100"/>
      <c r="T30" s="95"/>
      <c r="U30" s="134"/>
      <c r="V30" s="99"/>
    </row>
    <row r="31" spans="2:22" s="92" customFormat="1" ht="17.25" customHeight="1">
      <c r="B31" s="102"/>
      <c r="C31" s="39"/>
      <c r="D31" s="34"/>
      <c r="E31" s="81"/>
      <c r="F31" s="34"/>
      <c r="G31" s="34"/>
      <c r="H31" s="86"/>
      <c r="I31" s="86"/>
      <c r="J31" s="39"/>
      <c r="K31" s="86"/>
      <c r="L31" s="86"/>
      <c r="M31" s="86"/>
      <c r="N31" s="86"/>
      <c r="O31" s="86"/>
      <c r="P31" s="86"/>
      <c r="Q31" s="86"/>
      <c r="R31" s="86"/>
      <c r="S31" s="86"/>
      <c r="T31" s="81"/>
      <c r="U31" s="95"/>
      <c r="V31" s="99"/>
    </row>
    <row r="32" spans="2:22" s="92" customFormat="1" ht="25.5" customHeight="1" hidden="1">
      <c r="B32" s="82"/>
      <c r="C32" s="39"/>
      <c r="D32" s="34"/>
      <c r="E32" s="81"/>
      <c r="F32" s="34"/>
      <c r="G32" s="34"/>
      <c r="H32" s="86"/>
      <c r="I32" s="86"/>
      <c r="J32" s="39"/>
      <c r="K32" s="86"/>
      <c r="L32" s="86"/>
      <c r="M32" s="86"/>
      <c r="N32" s="86"/>
      <c r="O32" s="86"/>
      <c r="P32" s="86"/>
      <c r="Q32" s="86"/>
      <c r="R32" s="86"/>
      <c r="S32" s="86"/>
      <c r="T32" s="82"/>
      <c r="U32" s="81"/>
      <c r="V32" s="34"/>
    </row>
    <row r="33" spans="2:22" s="92" customFormat="1" ht="25.5" customHeight="1" hidden="1">
      <c r="B33" s="82"/>
      <c r="C33" s="39"/>
      <c r="D33" s="34"/>
      <c r="E33" s="81"/>
      <c r="F33" s="34"/>
      <c r="G33" s="34"/>
      <c r="H33" s="86"/>
      <c r="I33" s="86"/>
      <c r="J33" s="39"/>
      <c r="K33" s="86"/>
      <c r="L33" s="86"/>
      <c r="M33" s="86"/>
      <c r="N33" s="86"/>
      <c r="O33" s="86"/>
      <c r="P33" s="86"/>
      <c r="Q33" s="86"/>
      <c r="R33" s="86"/>
      <c r="S33" s="86"/>
      <c r="T33" s="82"/>
      <c r="U33" s="81"/>
      <c r="V33" s="34"/>
    </row>
    <row r="34" spans="2:22" s="92" customFormat="1" ht="25.5" customHeight="1" hidden="1">
      <c r="B34" s="82"/>
      <c r="C34" s="39"/>
      <c r="D34" s="34"/>
      <c r="E34" s="81"/>
      <c r="F34" s="34"/>
      <c r="G34" s="34"/>
      <c r="H34" s="86"/>
      <c r="I34" s="86"/>
      <c r="J34" s="39"/>
      <c r="K34" s="86"/>
      <c r="L34" s="86"/>
      <c r="M34" s="86"/>
      <c r="N34" s="86"/>
      <c r="O34" s="86"/>
      <c r="P34" s="86"/>
      <c r="Q34" s="86"/>
      <c r="R34" s="86"/>
      <c r="S34" s="86"/>
      <c r="T34" s="82"/>
      <c r="U34" s="81"/>
      <c r="V34" s="34"/>
    </row>
    <row r="35" spans="2:22" s="92" customFormat="1" ht="25.5" customHeight="1">
      <c r="B35" s="82"/>
      <c r="C35" s="39"/>
      <c r="D35" s="34"/>
      <c r="E35" s="81"/>
      <c r="F35" s="34"/>
      <c r="G35" s="34"/>
      <c r="H35" s="86"/>
      <c r="I35" s="86"/>
      <c r="J35" s="39"/>
      <c r="K35" s="86"/>
      <c r="L35" s="86"/>
      <c r="M35" s="86"/>
      <c r="N35" s="86"/>
      <c r="O35" s="86"/>
      <c r="P35" s="86"/>
      <c r="Q35" s="86"/>
      <c r="R35" s="86"/>
      <c r="S35" s="86"/>
      <c r="T35" s="82"/>
      <c r="U35" s="81"/>
      <c r="V35" s="34"/>
    </row>
    <row r="36" spans="2:22" s="92" customFormat="1" ht="25.5" customHeight="1">
      <c r="B36" s="82"/>
      <c r="C36" s="39"/>
      <c r="D36" s="34"/>
      <c r="E36" s="81"/>
      <c r="F36" s="34"/>
      <c r="G36" s="34"/>
      <c r="H36" s="86"/>
      <c r="I36" s="86"/>
      <c r="J36" s="39"/>
      <c r="K36" s="86"/>
      <c r="L36" s="86"/>
      <c r="M36" s="86"/>
      <c r="N36" s="86"/>
      <c r="O36" s="86"/>
      <c r="P36" s="86"/>
      <c r="Q36" s="86"/>
      <c r="R36" s="86"/>
      <c r="S36" s="86"/>
      <c r="T36" s="82"/>
      <c r="U36" s="81"/>
      <c r="V36" s="34"/>
    </row>
    <row r="37" spans="2:22" s="92" customFormat="1" ht="25.5" customHeight="1">
      <c r="B37" s="82"/>
      <c r="C37" s="39"/>
      <c r="D37" s="34"/>
      <c r="E37" s="81"/>
      <c r="F37" s="34"/>
      <c r="G37" s="34"/>
      <c r="H37" s="86"/>
      <c r="I37" s="86"/>
      <c r="J37" s="39"/>
      <c r="K37" s="86"/>
      <c r="L37" s="86"/>
      <c r="M37" s="86"/>
      <c r="N37" s="86"/>
      <c r="O37" s="86"/>
      <c r="P37" s="86"/>
      <c r="Q37" s="86"/>
      <c r="R37" s="86"/>
      <c r="S37" s="86"/>
      <c r="T37" s="82"/>
      <c r="U37" s="81"/>
      <c r="V37" s="34"/>
    </row>
    <row r="38" spans="2:22" s="92" customFormat="1" ht="25.5" customHeight="1">
      <c r="B38" s="82"/>
      <c r="C38" s="39"/>
      <c r="D38" s="34"/>
      <c r="E38" s="81"/>
      <c r="F38" s="34"/>
      <c r="G38" s="34"/>
      <c r="H38" s="86"/>
      <c r="I38" s="86"/>
      <c r="J38" s="39"/>
      <c r="K38" s="86"/>
      <c r="L38" s="86"/>
      <c r="M38" s="86"/>
      <c r="N38" s="86"/>
      <c r="O38" s="86"/>
      <c r="P38" s="86"/>
      <c r="Q38" s="86"/>
      <c r="R38" s="86"/>
      <c r="S38" s="86"/>
      <c r="T38" s="82"/>
      <c r="U38" s="81"/>
      <c r="V38" s="34"/>
    </row>
    <row r="39" spans="2:22" s="92" customFormat="1" ht="25.5" customHeight="1">
      <c r="B39" s="82"/>
      <c r="C39" s="39"/>
      <c r="D39" s="34"/>
      <c r="E39" s="81"/>
      <c r="F39" s="34"/>
      <c r="G39" s="34"/>
      <c r="H39" s="86"/>
      <c r="I39" s="86"/>
      <c r="J39" s="39"/>
      <c r="K39" s="86"/>
      <c r="L39" s="86"/>
      <c r="M39" s="86"/>
      <c r="N39" s="86"/>
      <c r="O39" s="86"/>
      <c r="P39" s="86"/>
      <c r="Q39" s="86"/>
      <c r="R39" s="86"/>
      <c r="S39" s="86"/>
      <c r="T39" s="82"/>
      <c r="U39" s="81"/>
      <c r="V39" s="34"/>
    </row>
    <row r="40" spans="2:22" s="92" customFormat="1" ht="25.5" customHeight="1">
      <c r="B40" s="82"/>
      <c r="C40" s="39"/>
      <c r="D40" s="34"/>
      <c r="E40" s="81"/>
      <c r="F40" s="34"/>
      <c r="G40" s="34"/>
      <c r="H40" s="86"/>
      <c r="I40" s="86"/>
      <c r="J40" s="39"/>
      <c r="K40" s="86"/>
      <c r="L40" s="86"/>
      <c r="M40" s="86"/>
      <c r="N40" s="86"/>
      <c r="O40" s="86"/>
      <c r="P40" s="86"/>
      <c r="Q40" s="86"/>
      <c r="R40" s="86"/>
      <c r="S40" s="86"/>
      <c r="T40" s="82"/>
      <c r="U40" s="81"/>
      <c r="V40" s="34"/>
    </row>
    <row r="41" spans="2:22" s="92" customFormat="1" ht="25.5" customHeight="1">
      <c r="B41" s="82"/>
      <c r="C41" s="39"/>
      <c r="D41" s="34"/>
      <c r="E41" s="81"/>
      <c r="F41" s="34"/>
      <c r="G41" s="34"/>
      <c r="H41" s="86"/>
      <c r="I41" s="86"/>
      <c r="J41" s="39"/>
      <c r="K41" s="86"/>
      <c r="L41" s="86"/>
      <c r="M41" s="86"/>
      <c r="N41" s="86"/>
      <c r="O41" s="86"/>
      <c r="P41" s="86"/>
      <c r="Q41" s="86"/>
      <c r="R41" s="86"/>
      <c r="S41" s="86"/>
      <c r="T41" s="82"/>
      <c r="U41" s="81"/>
      <c r="V41" s="34"/>
    </row>
    <row r="42" spans="2:22" s="92" customFormat="1" ht="25.5" customHeight="1">
      <c r="B42" s="82"/>
      <c r="C42" s="39"/>
      <c r="D42" s="34"/>
      <c r="E42" s="81"/>
      <c r="F42" s="34"/>
      <c r="G42" s="34"/>
      <c r="H42" s="86"/>
      <c r="I42" s="86"/>
      <c r="J42" s="39"/>
      <c r="K42" s="86"/>
      <c r="L42" s="86"/>
      <c r="M42" s="86"/>
      <c r="N42" s="86"/>
      <c r="O42" s="86"/>
      <c r="P42" s="86"/>
      <c r="Q42" s="86"/>
      <c r="R42" s="86"/>
      <c r="S42" s="86"/>
      <c r="T42" s="82"/>
      <c r="U42" s="81"/>
      <c r="V42" s="34"/>
    </row>
    <row r="43" spans="2:22" s="92" customFormat="1" ht="25.5" customHeight="1">
      <c r="B43" s="82"/>
      <c r="C43" s="39"/>
      <c r="D43" s="34"/>
      <c r="E43" s="81"/>
      <c r="F43" s="34"/>
      <c r="G43" s="34"/>
      <c r="H43" s="86"/>
      <c r="I43" s="86"/>
      <c r="J43" s="39"/>
      <c r="K43" s="86"/>
      <c r="L43" s="86"/>
      <c r="M43" s="86"/>
      <c r="N43" s="86"/>
      <c r="O43" s="86"/>
      <c r="P43" s="86"/>
      <c r="Q43" s="86"/>
      <c r="R43" s="86"/>
      <c r="S43" s="86"/>
      <c r="T43" s="82"/>
      <c r="U43" s="81"/>
      <c r="V43" s="34"/>
    </row>
    <row r="44" spans="2:22" s="92" customFormat="1" ht="25.5" customHeight="1">
      <c r="B44" s="82"/>
      <c r="C44" s="39"/>
      <c r="D44" s="34"/>
      <c r="E44" s="81"/>
      <c r="F44" s="34"/>
      <c r="G44" s="34"/>
      <c r="H44" s="86"/>
      <c r="I44" s="86"/>
      <c r="J44" s="39"/>
      <c r="K44" s="86"/>
      <c r="L44" s="86"/>
      <c r="M44" s="86"/>
      <c r="N44" s="86"/>
      <c r="O44" s="86"/>
      <c r="P44" s="86"/>
      <c r="Q44" s="86"/>
      <c r="R44" s="86"/>
      <c r="S44" s="86"/>
      <c r="T44" s="82"/>
      <c r="U44" s="81"/>
      <c r="V44" s="34"/>
    </row>
    <row r="45" spans="2:22" s="92" customFormat="1" ht="25.5" customHeight="1">
      <c r="B45" s="82"/>
      <c r="C45" s="39"/>
      <c r="D45" s="34"/>
      <c r="E45" s="81"/>
      <c r="F45" s="34"/>
      <c r="G45" s="34"/>
      <c r="H45" s="86"/>
      <c r="I45" s="86"/>
      <c r="J45" s="39"/>
      <c r="K45" s="86"/>
      <c r="L45" s="86"/>
      <c r="M45" s="86"/>
      <c r="N45" s="86"/>
      <c r="O45" s="86"/>
      <c r="P45" s="86"/>
      <c r="Q45" s="86"/>
      <c r="R45" s="86"/>
      <c r="S45" s="86"/>
      <c r="T45" s="82"/>
      <c r="U45" s="81"/>
      <c r="V45" s="34"/>
    </row>
    <row r="46" spans="2:22" s="92" customFormat="1" ht="25.5" customHeight="1">
      <c r="B46" s="82"/>
      <c r="C46" s="39"/>
      <c r="D46" s="34"/>
      <c r="E46" s="81"/>
      <c r="F46" s="34"/>
      <c r="G46" s="34"/>
      <c r="H46" s="86"/>
      <c r="I46" s="86"/>
      <c r="J46" s="39"/>
      <c r="K46" s="86"/>
      <c r="L46" s="86"/>
      <c r="M46" s="86"/>
      <c r="N46" s="86"/>
      <c r="O46" s="86"/>
      <c r="P46" s="86"/>
      <c r="Q46" s="86"/>
      <c r="R46" s="86"/>
      <c r="S46" s="86"/>
      <c r="T46" s="82"/>
      <c r="U46" s="81"/>
      <c r="V46" s="34"/>
    </row>
    <row r="47" spans="2:22" s="92" customFormat="1" ht="25.5" customHeight="1">
      <c r="B47" s="82"/>
      <c r="C47" s="39"/>
      <c r="D47" s="34"/>
      <c r="E47" s="81"/>
      <c r="F47" s="34"/>
      <c r="G47" s="34"/>
      <c r="H47" s="86"/>
      <c r="I47" s="86"/>
      <c r="J47" s="39"/>
      <c r="K47" s="86"/>
      <c r="L47" s="86"/>
      <c r="M47" s="86"/>
      <c r="N47" s="86"/>
      <c r="O47" s="86"/>
      <c r="P47" s="86"/>
      <c r="Q47" s="86"/>
      <c r="R47" s="86"/>
      <c r="S47" s="86"/>
      <c r="T47" s="82"/>
      <c r="U47" s="81"/>
      <c r="V47" s="34"/>
    </row>
    <row r="48" spans="2:22" s="92" customFormat="1" ht="25.5" customHeight="1">
      <c r="B48" s="82"/>
      <c r="C48" s="39"/>
      <c r="D48" s="34"/>
      <c r="E48" s="81"/>
      <c r="F48" s="34"/>
      <c r="G48" s="34"/>
      <c r="H48" s="86"/>
      <c r="I48" s="86"/>
      <c r="J48" s="39"/>
      <c r="K48" s="86"/>
      <c r="L48" s="86"/>
      <c r="M48" s="86"/>
      <c r="N48" s="86"/>
      <c r="O48" s="86"/>
      <c r="P48" s="86"/>
      <c r="Q48" s="86"/>
      <c r="R48" s="86"/>
      <c r="S48" s="86"/>
      <c r="T48" s="82"/>
      <c r="U48" s="81"/>
      <c r="V48" s="34"/>
    </row>
    <row r="49" spans="2:22" s="92" customFormat="1" ht="25.5" customHeight="1">
      <c r="B49" s="82"/>
      <c r="C49" s="39"/>
      <c r="D49" s="34"/>
      <c r="E49" s="81"/>
      <c r="F49" s="34"/>
      <c r="G49" s="34"/>
      <c r="H49" s="86"/>
      <c r="I49" s="86"/>
      <c r="J49" s="39"/>
      <c r="K49" s="86"/>
      <c r="L49" s="86"/>
      <c r="M49" s="86"/>
      <c r="N49" s="86"/>
      <c r="O49" s="86"/>
      <c r="P49" s="86"/>
      <c r="Q49" s="86"/>
      <c r="R49" s="86"/>
      <c r="S49" s="86"/>
      <c r="T49" s="82"/>
      <c r="U49" s="81"/>
      <c r="V49" s="34"/>
    </row>
    <row r="50" spans="2:22" s="92" customFormat="1" ht="25.5" customHeight="1">
      <c r="B50" s="82"/>
      <c r="C50" s="39"/>
      <c r="D50" s="34"/>
      <c r="E50" s="81"/>
      <c r="F50" s="34"/>
      <c r="G50" s="34"/>
      <c r="H50" s="86"/>
      <c r="I50" s="86"/>
      <c r="J50" s="39"/>
      <c r="K50" s="86"/>
      <c r="L50" s="86"/>
      <c r="M50" s="86"/>
      <c r="N50" s="86"/>
      <c r="O50" s="86"/>
      <c r="P50" s="86"/>
      <c r="Q50" s="86"/>
      <c r="R50" s="86"/>
      <c r="S50" s="86"/>
      <c r="T50" s="82"/>
      <c r="U50" s="81"/>
      <c r="V50" s="34"/>
    </row>
    <row r="51" spans="2:22" s="92" customFormat="1" ht="25.5" customHeight="1">
      <c r="B51" s="82"/>
      <c r="C51" s="39"/>
      <c r="D51" s="34"/>
      <c r="E51" s="81"/>
      <c r="F51" s="34"/>
      <c r="G51" s="34"/>
      <c r="H51" s="86"/>
      <c r="I51" s="86"/>
      <c r="J51" s="39"/>
      <c r="K51" s="86"/>
      <c r="L51" s="86"/>
      <c r="M51" s="86"/>
      <c r="N51" s="86"/>
      <c r="O51" s="86"/>
      <c r="P51" s="86"/>
      <c r="Q51" s="86"/>
      <c r="R51" s="86"/>
      <c r="S51" s="86"/>
      <c r="T51" s="82"/>
      <c r="U51" s="81"/>
      <c r="V51" s="34"/>
    </row>
    <row r="52" spans="2:22" s="92" customFormat="1" ht="25.5" customHeight="1">
      <c r="B52" s="82"/>
      <c r="C52" s="39"/>
      <c r="D52" s="34"/>
      <c r="E52" s="81"/>
      <c r="F52" s="34"/>
      <c r="G52" s="34"/>
      <c r="H52" s="86"/>
      <c r="I52" s="86"/>
      <c r="J52" s="39"/>
      <c r="K52" s="86"/>
      <c r="L52" s="86"/>
      <c r="M52" s="86"/>
      <c r="N52" s="86"/>
      <c r="O52" s="86"/>
      <c r="P52" s="86"/>
      <c r="Q52" s="86"/>
      <c r="R52" s="86"/>
      <c r="S52" s="86"/>
      <c r="T52" s="82"/>
      <c r="U52" s="81"/>
      <c r="V52" s="34"/>
    </row>
    <row r="53" spans="2:22" s="92" customFormat="1" ht="25.5" customHeight="1">
      <c r="B53" s="82"/>
      <c r="C53" s="39"/>
      <c r="D53" s="34"/>
      <c r="E53" s="81"/>
      <c r="F53" s="34"/>
      <c r="G53" s="34"/>
      <c r="H53" s="86"/>
      <c r="I53" s="86"/>
      <c r="J53" s="39"/>
      <c r="K53" s="86"/>
      <c r="L53" s="86"/>
      <c r="M53" s="86"/>
      <c r="N53" s="86"/>
      <c r="O53" s="86"/>
      <c r="P53" s="86"/>
      <c r="Q53" s="86"/>
      <c r="R53" s="86"/>
      <c r="S53" s="86"/>
      <c r="T53" s="82"/>
      <c r="U53" s="81"/>
      <c r="V53" s="34"/>
    </row>
    <row r="54" spans="2:22" s="92" customFormat="1" ht="25.5" customHeight="1">
      <c r="B54" s="82"/>
      <c r="C54" s="39"/>
      <c r="D54" s="34"/>
      <c r="E54" s="81"/>
      <c r="F54" s="34"/>
      <c r="G54" s="34"/>
      <c r="H54" s="86"/>
      <c r="I54" s="86"/>
      <c r="J54" s="39"/>
      <c r="K54" s="86"/>
      <c r="L54" s="86"/>
      <c r="M54" s="86"/>
      <c r="N54" s="86"/>
      <c r="O54" s="86"/>
      <c r="P54" s="86"/>
      <c r="Q54" s="86"/>
      <c r="R54" s="86"/>
      <c r="S54" s="86"/>
      <c r="T54" s="82"/>
      <c r="U54" s="81"/>
      <c r="V54" s="34"/>
    </row>
    <row r="55" spans="2:22" s="92" customFormat="1" ht="25.5" customHeight="1">
      <c r="B55" s="82"/>
      <c r="C55" s="39"/>
      <c r="D55" s="34"/>
      <c r="E55" s="81"/>
      <c r="F55" s="34"/>
      <c r="G55" s="34"/>
      <c r="H55" s="86"/>
      <c r="I55" s="86"/>
      <c r="J55" s="39"/>
      <c r="K55" s="86"/>
      <c r="L55" s="86"/>
      <c r="M55" s="86"/>
      <c r="N55" s="86"/>
      <c r="O55" s="86"/>
      <c r="P55" s="86"/>
      <c r="Q55" s="86"/>
      <c r="R55" s="86"/>
      <c r="S55" s="86"/>
      <c r="T55" s="82"/>
      <c r="U55" s="81"/>
      <c r="V55" s="34"/>
    </row>
    <row r="56" spans="2:22" s="92" customFormat="1" ht="25.5" customHeight="1">
      <c r="B56" s="82"/>
      <c r="C56" s="39"/>
      <c r="D56" s="34"/>
      <c r="E56" s="81"/>
      <c r="F56" s="34"/>
      <c r="G56" s="34"/>
      <c r="H56" s="86"/>
      <c r="I56" s="86"/>
      <c r="J56" s="39"/>
      <c r="K56" s="86"/>
      <c r="L56" s="86"/>
      <c r="M56" s="86"/>
      <c r="N56" s="86"/>
      <c r="O56" s="86"/>
      <c r="P56" s="86"/>
      <c r="Q56" s="86"/>
      <c r="R56" s="86"/>
      <c r="S56" s="86"/>
      <c r="T56" s="82"/>
      <c r="U56" s="81"/>
      <c r="V56" s="34"/>
    </row>
    <row r="57" spans="2:22" s="92" customFormat="1" ht="25.5" customHeight="1">
      <c r="B57" s="82"/>
      <c r="C57" s="39"/>
      <c r="D57" s="34"/>
      <c r="E57" s="81"/>
      <c r="F57" s="34"/>
      <c r="G57" s="34"/>
      <c r="H57" s="86"/>
      <c r="I57" s="86"/>
      <c r="J57" s="39"/>
      <c r="K57" s="86"/>
      <c r="L57" s="86"/>
      <c r="M57" s="86"/>
      <c r="N57" s="86"/>
      <c r="O57" s="86"/>
      <c r="P57" s="86"/>
      <c r="Q57" s="86"/>
      <c r="R57" s="86"/>
      <c r="S57" s="86"/>
      <c r="T57" s="82"/>
      <c r="U57" s="81"/>
      <c r="V57" s="34"/>
    </row>
    <row r="58" spans="2:22" s="92" customFormat="1" ht="25.5" customHeight="1">
      <c r="B58" s="82"/>
      <c r="C58" s="39"/>
      <c r="D58" s="34"/>
      <c r="E58" s="81"/>
      <c r="F58" s="34"/>
      <c r="G58" s="34"/>
      <c r="H58" s="86"/>
      <c r="I58" s="86"/>
      <c r="J58" s="39"/>
      <c r="K58" s="86"/>
      <c r="L58" s="86"/>
      <c r="M58" s="86"/>
      <c r="N58" s="86"/>
      <c r="O58" s="86"/>
      <c r="P58" s="86"/>
      <c r="Q58" s="86"/>
      <c r="R58" s="86"/>
      <c r="S58" s="86"/>
      <c r="T58" s="82"/>
      <c r="U58" s="81"/>
      <c r="V58" s="34"/>
    </row>
    <row r="59" spans="2:22" s="92" customFormat="1" ht="25.5" customHeight="1">
      <c r="B59" s="82"/>
      <c r="C59" s="39"/>
      <c r="D59" s="34"/>
      <c r="E59" s="81"/>
      <c r="F59" s="34"/>
      <c r="G59" s="34"/>
      <c r="H59" s="86"/>
      <c r="I59" s="86"/>
      <c r="J59" s="39"/>
      <c r="K59" s="86"/>
      <c r="L59" s="86"/>
      <c r="M59" s="86"/>
      <c r="N59" s="86"/>
      <c r="O59" s="86"/>
      <c r="P59" s="86"/>
      <c r="Q59" s="86"/>
      <c r="R59" s="86"/>
      <c r="S59" s="86"/>
      <c r="T59" s="82"/>
      <c r="U59" s="81"/>
      <c r="V59" s="34"/>
    </row>
    <row r="60" spans="2:22" s="92" customFormat="1" ht="25.5" customHeight="1">
      <c r="B60" s="82"/>
      <c r="C60" s="39"/>
      <c r="D60" s="34"/>
      <c r="E60" s="81"/>
      <c r="F60" s="34"/>
      <c r="G60" s="34"/>
      <c r="H60" s="86"/>
      <c r="I60" s="86"/>
      <c r="J60" s="39"/>
      <c r="K60" s="86"/>
      <c r="L60" s="86"/>
      <c r="M60" s="86"/>
      <c r="N60" s="86"/>
      <c r="O60" s="86"/>
      <c r="P60" s="86"/>
      <c r="Q60" s="86"/>
      <c r="R60" s="86"/>
      <c r="S60" s="86"/>
      <c r="T60" s="82"/>
      <c r="U60" s="81"/>
      <c r="V60" s="34"/>
    </row>
    <row r="61" spans="2:22" s="92" customFormat="1" ht="25.5" customHeight="1">
      <c r="B61" s="82"/>
      <c r="C61" s="39"/>
      <c r="D61" s="34"/>
      <c r="E61" s="81"/>
      <c r="F61" s="34"/>
      <c r="G61" s="34"/>
      <c r="H61" s="86"/>
      <c r="I61" s="86"/>
      <c r="J61" s="39"/>
      <c r="K61" s="86"/>
      <c r="L61" s="86"/>
      <c r="M61" s="86"/>
      <c r="N61" s="86"/>
      <c r="O61" s="86"/>
      <c r="P61" s="86"/>
      <c r="Q61" s="86"/>
      <c r="R61" s="86"/>
      <c r="S61" s="86"/>
      <c r="T61" s="82"/>
      <c r="U61" s="81"/>
      <c r="V61" s="34"/>
    </row>
    <row r="62" spans="2:22" s="92" customFormat="1" ht="25.5" customHeight="1">
      <c r="B62" s="82"/>
      <c r="C62" s="39"/>
      <c r="D62" s="34"/>
      <c r="E62" s="81"/>
      <c r="F62" s="34"/>
      <c r="G62" s="34"/>
      <c r="H62" s="86"/>
      <c r="I62" s="86"/>
      <c r="J62" s="39"/>
      <c r="K62" s="86"/>
      <c r="L62" s="86"/>
      <c r="M62" s="86"/>
      <c r="N62" s="86"/>
      <c r="O62" s="86"/>
      <c r="P62" s="86"/>
      <c r="Q62" s="86"/>
      <c r="R62" s="86"/>
      <c r="S62" s="86"/>
      <c r="T62" s="82"/>
      <c r="U62" s="81"/>
      <c r="V62" s="34"/>
    </row>
    <row r="63" spans="2:22" s="92" customFormat="1" ht="25.5" customHeight="1">
      <c r="B63" s="82"/>
      <c r="C63" s="39"/>
      <c r="D63" s="34"/>
      <c r="E63" s="81"/>
      <c r="F63" s="34"/>
      <c r="G63" s="34"/>
      <c r="H63" s="86"/>
      <c r="I63" s="86"/>
      <c r="J63" s="39"/>
      <c r="K63" s="86"/>
      <c r="L63" s="86"/>
      <c r="M63" s="86"/>
      <c r="N63" s="86"/>
      <c r="O63" s="86"/>
      <c r="P63" s="86"/>
      <c r="Q63" s="86"/>
      <c r="R63" s="86"/>
      <c r="S63" s="86"/>
      <c r="T63" s="82"/>
      <c r="U63" s="81"/>
      <c r="V63" s="34"/>
    </row>
    <row r="64" spans="2:22" s="92" customFormat="1" ht="25.5" customHeight="1">
      <c r="B64" s="82"/>
      <c r="C64" s="39"/>
      <c r="D64" s="34"/>
      <c r="E64" s="81"/>
      <c r="F64" s="34"/>
      <c r="G64" s="34"/>
      <c r="H64" s="86"/>
      <c r="I64" s="86"/>
      <c r="J64" s="39"/>
      <c r="K64" s="86"/>
      <c r="L64" s="86"/>
      <c r="M64" s="86"/>
      <c r="N64" s="86"/>
      <c r="O64" s="86"/>
      <c r="P64" s="86"/>
      <c r="Q64" s="86"/>
      <c r="R64" s="86"/>
      <c r="S64" s="86"/>
      <c r="T64" s="82"/>
      <c r="U64" s="81"/>
      <c r="V64" s="34"/>
    </row>
    <row r="65" spans="2:22" s="92" customFormat="1" ht="25.5" customHeight="1">
      <c r="B65" s="82"/>
      <c r="C65" s="39"/>
      <c r="D65" s="34"/>
      <c r="E65" s="81"/>
      <c r="F65" s="34"/>
      <c r="G65" s="34"/>
      <c r="H65" s="86"/>
      <c r="I65" s="86"/>
      <c r="J65" s="39"/>
      <c r="K65" s="86"/>
      <c r="L65" s="86"/>
      <c r="M65" s="86"/>
      <c r="N65" s="86"/>
      <c r="O65" s="86"/>
      <c r="P65" s="86"/>
      <c r="Q65" s="86"/>
      <c r="R65" s="86"/>
      <c r="S65" s="86"/>
      <c r="T65" s="82"/>
      <c r="U65" s="81"/>
      <c r="V65" s="34"/>
    </row>
    <row r="66" spans="2:22" s="92" customFormat="1" ht="25.5" customHeight="1">
      <c r="B66" s="82"/>
      <c r="C66" s="39"/>
      <c r="D66" s="34"/>
      <c r="E66" s="81"/>
      <c r="F66" s="34"/>
      <c r="G66" s="34"/>
      <c r="H66" s="86"/>
      <c r="I66" s="86"/>
      <c r="J66" s="39"/>
      <c r="K66" s="86"/>
      <c r="L66" s="86"/>
      <c r="M66" s="86"/>
      <c r="N66" s="86"/>
      <c r="O66" s="86"/>
      <c r="P66" s="86"/>
      <c r="Q66" s="86"/>
      <c r="R66" s="86"/>
      <c r="S66" s="86"/>
      <c r="T66" s="82"/>
      <c r="U66" s="81"/>
      <c r="V66" s="34"/>
    </row>
    <row r="67" spans="2:22" s="92" customFormat="1" ht="25.5" customHeight="1">
      <c r="B67" s="82"/>
      <c r="C67" s="39"/>
      <c r="D67" s="34"/>
      <c r="E67" s="81"/>
      <c r="F67" s="34"/>
      <c r="G67" s="34"/>
      <c r="H67" s="86"/>
      <c r="I67" s="86"/>
      <c r="J67" s="39"/>
      <c r="K67" s="86"/>
      <c r="L67" s="86"/>
      <c r="M67" s="86"/>
      <c r="N67" s="86"/>
      <c r="O67" s="86"/>
      <c r="P67" s="86"/>
      <c r="Q67" s="86"/>
      <c r="R67" s="86"/>
      <c r="S67" s="86"/>
      <c r="T67" s="82"/>
      <c r="U67" s="81"/>
      <c r="V67" s="34"/>
    </row>
    <row r="68" spans="2:22" s="92" customFormat="1" ht="25.5" customHeight="1">
      <c r="B68" s="82"/>
      <c r="C68" s="39"/>
      <c r="D68" s="34"/>
      <c r="E68" s="81"/>
      <c r="F68" s="34"/>
      <c r="G68" s="34"/>
      <c r="H68" s="86"/>
      <c r="I68" s="86"/>
      <c r="J68" s="39"/>
      <c r="K68" s="86"/>
      <c r="L68" s="86"/>
      <c r="M68" s="86"/>
      <c r="N68" s="86"/>
      <c r="O68" s="86"/>
      <c r="P68" s="86"/>
      <c r="Q68" s="86"/>
      <c r="R68" s="86"/>
      <c r="S68" s="86"/>
      <c r="T68" s="82"/>
      <c r="U68" s="81"/>
      <c r="V68" s="34"/>
    </row>
    <row r="69" spans="2:22" s="92" customFormat="1" ht="25.5" customHeight="1">
      <c r="B69" s="82"/>
      <c r="C69" s="39"/>
      <c r="D69" s="34"/>
      <c r="E69" s="81"/>
      <c r="F69" s="34"/>
      <c r="G69" s="34"/>
      <c r="H69" s="86"/>
      <c r="I69" s="86"/>
      <c r="J69" s="39"/>
      <c r="K69" s="86"/>
      <c r="L69" s="86"/>
      <c r="M69" s="86"/>
      <c r="N69" s="86"/>
      <c r="O69" s="86"/>
      <c r="P69" s="86"/>
      <c r="Q69" s="86"/>
      <c r="R69" s="86"/>
      <c r="S69" s="86"/>
      <c r="T69" s="82"/>
      <c r="U69" s="81"/>
      <c r="V69" s="34"/>
    </row>
    <row r="70" spans="2:22" s="92" customFormat="1" ht="25.5" customHeight="1">
      <c r="B70" s="82"/>
      <c r="C70" s="39"/>
      <c r="D70" s="34"/>
      <c r="E70" s="81"/>
      <c r="F70" s="34"/>
      <c r="G70" s="34"/>
      <c r="H70" s="86"/>
      <c r="I70" s="86"/>
      <c r="J70" s="39"/>
      <c r="K70" s="86"/>
      <c r="L70" s="86"/>
      <c r="M70" s="86"/>
      <c r="N70" s="86"/>
      <c r="O70" s="86"/>
      <c r="P70" s="86"/>
      <c r="Q70" s="86"/>
      <c r="R70" s="86"/>
      <c r="S70" s="86"/>
      <c r="T70" s="82"/>
      <c r="U70" s="81"/>
      <c r="V70" s="34"/>
    </row>
  </sheetData>
  <sheetProtection/>
  <mergeCells count="3">
    <mergeCell ref="R23:S23"/>
    <mergeCell ref="L24:M24"/>
    <mergeCell ref="K25:L25"/>
  </mergeCells>
  <printOptions/>
  <pageMargins left="0.16" right="0.16" top="0.27" bottom="0.21" header="0.17" footer="0.17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7"/>
  <sheetViews>
    <sheetView tabSelected="1" zoomScalePageLayoutView="0" workbookViewId="0" topLeftCell="A1">
      <pane xSplit="23475" topLeftCell="C1" activePane="topLeft" state="split"/>
      <selection pane="topLeft" activeCell="S4" sqref="S4"/>
      <selection pane="topRight" activeCell="I1" sqref="I1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2.125" style="26" bestFit="1" customWidth="1"/>
    <col min="4" max="4" width="10.25390625" style="2" customWidth="1"/>
    <col min="5" max="5" width="9.75390625" style="26" customWidth="1"/>
    <col min="6" max="6" width="9.875" style="2" bestFit="1" customWidth="1"/>
    <col min="7" max="7" width="10.00390625" style="2" bestFit="1" customWidth="1"/>
    <col min="8" max="8" width="9.875" style="2" customWidth="1"/>
    <col min="9" max="9" width="8.25390625" style="2" bestFit="1" customWidth="1"/>
    <col min="10" max="10" width="9.125" style="2" bestFit="1" customWidth="1"/>
    <col min="11" max="11" width="8.75390625" style="2" hidden="1" customWidth="1"/>
    <col min="12" max="12" width="9.25390625" style="67" hidden="1" customWidth="1"/>
    <col min="13" max="13" width="9.875" style="2" bestFit="1" customWidth="1"/>
    <col min="14" max="14" width="8.625" style="2" hidden="1" customWidth="1"/>
    <col min="15" max="15" width="9.50390625" style="2" hidden="1" customWidth="1"/>
    <col min="16" max="16" width="9.625" style="2" hidden="1" customWidth="1"/>
    <col min="17" max="17" width="10.00390625" style="2" hidden="1" customWidth="1"/>
    <col min="18" max="18" width="9.375" style="2" hidden="1" customWidth="1"/>
    <col min="19" max="19" width="10.375" style="1" bestFit="1" customWidth="1"/>
    <col min="20" max="20" width="11.375" style="97" customWidth="1"/>
    <col min="21" max="21" width="11.375" style="1" bestFit="1" customWidth="1"/>
    <col min="22" max="22" width="10.00390625" style="1" customWidth="1"/>
    <col min="23" max="16384" width="9.00390625" style="1" customWidth="1"/>
  </cols>
  <sheetData>
    <row r="1" spans="1:21" s="3" customFormat="1" ht="31.5" customHeight="1">
      <c r="A1" s="12" t="s">
        <v>5</v>
      </c>
      <c r="B1" s="12"/>
      <c r="C1" s="25"/>
      <c r="D1" s="2"/>
      <c r="E1" s="26"/>
      <c r="F1" s="2"/>
      <c r="G1" s="2"/>
      <c r="H1" s="2"/>
      <c r="I1" s="2"/>
      <c r="J1" s="2"/>
      <c r="K1" s="2"/>
      <c r="L1" s="67"/>
      <c r="M1" s="2"/>
      <c r="N1" s="2"/>
      <c r="O1" s="2"/>
      <c r="P1" s="2"/>
      <c r="Q1" s="2"/>
      <c r="R1" s="2"/>
      <c r="T1" s="97"/>
      <c r="U1" s="128" t="s">
        <v>33</v>
      </c>
    </row>
    <row r="2" ht="10.5" customHeight="1">
      <c r="A2" s="8"/>
    </row>
    <row r="3" spans="1:20" s="3" customFormat="1" ht="22.5" customHeight="1" thickBot="1">
      <c r="A3" s="12" t="s">
        <v>47</v>
      </c>
      <c r="C3" s="13"/>
      <c r="D3" s="2"/>
      <c r="E3" s="26"/>
      <c r="F3" s="2"/>
      <c r="G3" s="2"/>
      <c r="H3" s="2"/>
      <c r="I3" s="2"/>
      <c r="J3" s="2"/>
      <c r="K3" s="2"/>
      <c r="L3" s="67"/>
      <c r="M3" s="2"/>
      <c r="N3" s="2"/>
      <c r="O3" s="2"/>
      <c r="P3" s="2"/>
      <c r="Q3" s="2"/>
      <c r="R3" s="2"/>
      <c r="T3" s="137"/>
    </row>
    <row r="4" spans="1:22" s="9" customFormat="1" ht="45.75" customHeight="1" thickBot="1">
      <c r="A4" s="87" t="s">
        <v>9</v>
      </c>
      <c r="B4" s="88" t="s">
        <v>0</v>
      </c>
      <c r="C4" s="149" t="s">
        <v>54</v>
      </c>
      <c r="D4" s="18" t="s">
        <v>55</v>
      </c>
      <c r="E4" s="35" t="s">
        <v>17</v>
      </c>
      <c r="F4" s="68" t="s">
        <v>56</v>
      </c>
      <c r="G4" s="120" t="s">
        <v>31</v>
      </c>
      <c r="H4" s="18" t="s">
        <v>45</v>
      </c>
      <c r="I4" s="121" t="s">
        <v>58</v>
      </c>
      <c r="J4" s="123" t="s">
        <v>57</v>
      </c>
      <c r="K4" s="35" t="s">
        <v>18</v>
      </c>
      <c r="L4" s="68" t="s">
        <v>35</v>
      </c>
      <c r="M4" s="19" t="s">
        <v>59</v>
      </c>
      <c r="N4" s="18"/>
      <c r="O4" s="35" t="s">
        <v>30</v>
      </c>
      <c r="P4" s="68" t="s">
        <v>43</v>
      </c>
      <c r="Q4" s="120" t="s">
        <v>40</v>
      </c>
      <c r="R4" s="120" t="s">
        <v>60</v>
      </c>
      <c r="S4" s="162" t="s">
        <v>61</v>
      </c>
      <c r="T4" s="189" t="s">
        <v>62</v>
      </c>
      <c r="U4" s="183" t="s">
        <v>63</v>
      </c>
      <c r="V4" s="88" t="s">
        <v>64</v>
      </c>
    </row>
    <row r="5" spans="1:22" s="5" customFormat="1" ht="30" customHeight="1">
      <c r="A5" s="49">
        <v>1</v>
      </c>
      <c r="B5" s="89" t="s">
        <v>25</v>
      </c>
      <c r="C5" s="150">
        <v>607098.92</v>
      </c>
      <c r="D5" s="24">
        <v>76000</v>
      </c>
      <c r="E5" s="93">
        <v>72639.27</v>
      </c>
      <c r="F5" s="250">
        <f aca="true" t="shared" si="0" ref="F5:F10">D5-E5</f>
        <v>3360.729999999996</v>
      </c>
      <c r="G5" s="23">
        <v>0</v>
      </c>
      <c r="H5" s="24">
        <v>75086.65</v>
      </c>
      <c r="I5" s="23">
        <f>G5*G15/100</f>
        <v>0</v>
      </c>
      <c r="J5" s="132">
        <f aca="true" t="shared" si="1" ref="J5:J10">H5+I5</f>
        <v>75086.65</v>
      </c>
      <c r="K5" s="36"/>
      <c r="L5" s="170"/>
      <c r="M5" s="24">
        <v>80345</v>
      </c>
      <c r="N5" s="23"/>
      <c r="O5" s="36"/>
      <c r="P5" s="23">
        <f aca="true" t="shared" si="2" ref="P5:P10">M5-O5</f>
        <v>80345</v>
      </c>
      <c r="Q5" s="23"/>
      <c r="R5" s="23"/>
      <c r="S5" s="163">
        <f>E5+J5+M5</f>
        <v>228070.91999999998</v>
      </c>
      <c r="T5" s="124">
        <f>S5</f>
        <v>228070.91999999998</v>
      </c>
      <c r="U5" s="83">
        <f>E5+K5</f>
        <v>72639.27</v>
      </c>
      <c r="V5" s="213">
        <f>-F5</f>
        <v>-3360.729999999996</v>
      </c>
    </row>
    <row r="6" spans="1:22" s="5" customFormat="1" ht="22.5" customHeight="1">
      <c r="A6" s="49">
        <v>2</v>
      </c>
      <c r="B6" s="89" t="s">
        <v>26</v>
      </c>
      <c r="C6" s="150">
        <v>464798.19</v>
      </c>
      <c r="D6" s="24">
        <f>41000+3278.19</f>
        <v>44278.19</v>
      </c>
      <c r="E6" s="93">
        <v>45305.62</v>
      </c>
      <c r="F6" s="251">
        <f t="shared" si="0"/>
        <v>-1027.4300000000003</v>
      </c>
      <c r="G6" s="23">
        <f>(C6+E6)/13</f>
        <v>39238.75461538461</v>
      </c>
      <c r="H6" s="24">
        <f>39651.95-3278.19</f>
        <v>36373.759999999995</v>
      </c>
      <c r="I6" s="23">
        <f>G6*G15/100</f>
        <v>1862.7192952642843</v>
      </c>
      <c r="J6" s="132">
        <f t="shared" si="1"/>
        <v>38236.47929526428</v>
      </c>
      <c r="K6" s="36"/>
      <c r="L6" s="170"/>
      <c r="M6" s="24">
        <v>42867.46</v>
      </c>
      <c r="N6" s="23"/>
      <c r="O6" s="36"/>
      <c r="P6" s="23">
        <f t="shared" si="2"/>
        <v>42867.46</v>
      </c>
      <c r="Q6" s="23"/>
      <c r="R6" s="23"/>
      <c r="S6" s="163">
        <f>E6+J6+M6</f>
        <v>126409.55929526428</v>
      </c>
      <c r="T6" s="124">
        <f>S6</f>
        <v>126409.55929526428</v>
      </c>
      <c r="U6" s="83">
        <f aca="true" t="shared" si="3" ref="U6:U12">E6+K6</f>
        <v>45305.62</v>
      </c>
      <c r="V6" s="214">
        <f>I6</f>
        <v>1862.7192952642843</v>
      </c>
    </row>
    <row r="7" spans="1:22" s="5" customFormat="1" ht="22.5" customHeight="1">
      <c r="A7" s="49">
        <v>3</v>
      </c>
      <c r="B7" s="89" t="s">
        <v>27</v>
      </c>
      <c r="C7" s="150">
        <v>837260.07</v>
      </c>
      <c r="D7" s="24">
        <f>44000+84.37</f>
        <v>44084.37</v>
      </c>
      <c r="E7" s="93">
        <v>102163.79</v>
      </c>
      <c r="F7" s="251">
        <f t="shared" si="0"/>
        <v>-58079.41999999999</v>
      </c>
      <c r="G7" s="23">
        <f>(C7+E7)/13</f>
        <v>72263.37384615385</v>
      </c>
      <c r="H7" s="24">
        <f>43252.56-84.37</f>
        <v>43168.189999999995</v>
      </c>
      <c r="I7" s="23">
        <f>G7*G15/100</f>
        <v>3430.4447764341417</v>
      </c>
      <c r="J7" s="132">
        <f t="shared" si="1"/>
        <v>46598.63477643413</v>
      </c>
      <c r="K7" s="36"/>
      <c r="L7" s="170"/>
      <c r="M7" s="24">
        <v>46363.55</v>
      </c>
      <c r="N7" s="23"/>
      <c r="O7" s="36"/>
      <c r="P7" s="170">
        <f t="shared" si="2"/>
        <v>46363.55</v>
      </c>
      <c r="Q7" s="23"/>
      <c r="R7" s="23"/>
      <c r="S7" s="163">
        <f aca="true" t="shared" si="4" ref="S7:S12">E7+J7+M7</f>
        <v>195125.97477643413</v>
      </c>
      <c r="T7" s="124">
        <f aca="true" t="shared" si="5" ref="T7:T12">S7</f>
        <v>195125.97477643413</v>
      </c>
      <c r="U7" s="83">
        <f t="shared" si="3"/>
        <v>102163.79</v>
      </c>
      <c r="V7" s="214">
        <f>I7</f>
        <v>3430.4447764341417</v>
      </c>
    </row>
    <row r="8" spans="1:22" s="5" customFormat="1" ht="22.5" customHeight="1">
      <c r="A8" s="49">
        <v>4</v>
      </c>
      <c r="B8" s="89" t="s">
        <v>28</v>
      </c>
      <c r="C8" s="151">
        <v>1202864.54</v>
      </c>
      <c r="D8" s="30">
        <f>100000+25308.49</f>
        <v>125308.49</v>
      </c>
      <c r="E8" s="94">
        <v>152484.23</v>
      </c>
      <c r="F8" s="251">
        <f t="shared" si="0"/>
        <v>-27175.740000000005</v>
      </c>
      <c r="G8" s="23">
        <f>(C8+E8)/13</f>
        <v>104257.5976923077</v>
      </c>
      <c r="H8" s="30">
        <f>99090.18-25308.49</f>
        <v>73781.68999999999</v>
      </c>
      <c r="I8" s="77">
        <f>G8*G15/100</f>
        <v>4949.255928301564</v>
      </c>
      <c r="J8" s="132">
        <f t="shared" si="1"/>
        <v>78730.94592830155</v>
      </c>
      <c r="K8" s="36"/>
      <c r="L8" s="170"/>
      <c r="M8" s="30">
        <v>112234.68</v>
      </c>
      <c r="N8" s="30"/>
      <c r="O8" s="74"/>
      <c r="P8" s="170">
        <f t="shared" si="2"/>
        <v>112234.68</v>
      </c>
      <c r="Q8" s="23"/>
      <c r="R8" s="23"/>
      <c r="S8" s="163">
        <f t="shared" si="4"/>
        <v>343449.8559283016</v>
      </c>
      <c r="T8" s="124">
        <f t="shared" si="5"/>
        <v>343449.8559283016</v>
      </c>
      <c r="U8" s="83">
        <f t="shared" si="3"/>
        <v>152484.23</v>
      </c>
      <c r="V8" s="214">
        <f>I8</f>
        <v>4949.255928301564</v>
      </c>
    </row>
    <row r="9" spans="1:22" s="5" customFormat="1" ht="22.5" customHeight="1">
      <c r="A9" s="49">
        <v>5</v>
      </c>
      <c r="B9" s="89" t="s">
        <v>44</v>
      </c>
      <c r="C9" s="150">
        <v>315286.38</v>
      </c>
      <c r="D9" s="24">
        <v>37000</v>
      </c>
      <c r="E9" s="93">
        <v>34339.24</v>
      </c>
      <c r="F9" s="250">
        <f t="shared" si="0"/>
        <v>2660.760000000002</v>
      </c>
      <c r="G9" s="23">
        <v>0</v>
      </c>
      <c r="H9" s="24">
        <v>36476.34</v>
      </c>
      <c r="I9" s="24">
        <f>G9*G15/100</f>
        <v>0</v>
      </c>
      <c r="J9" s="132">
        <f t="shared" si="1"/>
        <v>36476.34</v>
      </c>
      <c r="K9" s="37"/>
      <c r="L9" s="172"/>
      <c r="M9" s="24">
        <v>38808</v>
      </c>
      <c r="N9" s="24"/>
      <c r="O9" s="37"/>
      <c r="P9" s="172">
        <f t="shared" si="2"/>
        <v>38808</v>
      </c>
      <c r="Q9" s="24"/>
      <c r="R9" s="24"/>
      <c r="S9" s="163">
        <f t="shared" si="4"/>
        <v>109623.57999999999</v>
      </c>
      <c r="T9" s="124">
        <f t="shared" si="5"/>
        <v>109623.57999999999</v>
      </c>
      <c r="U9" s="83">
        <f t="shared" si="3"/>
        <v>34339.24</v>
      </c>
      <c r="V9" s="214">
        <f>-F9</f>
        <v>-2660.760000000002</v>
      </c>
    </row>
    <row r="10" spans="1:22" s="5" customFormat="1" ht="26.25" customHeight="1" thickBot="1">
      <c r="A10" s="49">
        <v>6</v>
      </c>
      <c r="B10" s="90" t="s">
        <v>29</v>
      </c>
      <c r="C10" s="152">
        <v>719968.06</v>
      </c>
      <c r="D10" s="52">
        <v>85000</v>
      </c>
      <c r="E10" s="188">
        <v>80779.07</v>
      </c>
      <c r="F10" s="250">
        <f t="shared" si="0"/>
        <v>4220.929999999993</v>
      </c>
      <c r="G10" s="23">
        <v>0</v>
      </c>
      <c r="H10" s="52">
        <v>83442.32</v>
      </c>
      <c r="I10" s="52">
        <v>0</v>
      </c>
      <c r="J10" s="132">
        <f t="shared" si="1"/>
        <v>83442.32</v>
      </c>
      <c r="K10" s="51"/>
      <c r="L10" s="170"/>
      <c r="M10" s="52">
        <v>89381.31</v>
      </c>
      <c r="N10" s="52"/>
      <c r="O10" s="51"/>
      <c r="P10" s="170">
        <f t="shared" si="2"/>
        <v>89381.31</v>
      </c>
      <c r="Q10" s="23"/>
      <c r="R10" s="23"/>
      <c r="S10" s="163">
        <f t="shared" si="4"/>
        <v>253602.7</v>
      </c>
      <c r="T10" s="124">
        <f t="shared" si="5"/>
        <v>253602.7</v>
      </c>
      <c r="U10" s="83">
        <f t="shared" si="3"/>
        <v>80779.07</v>
      </c>
      <c r="V10" s="214">
        <f>-F10</f>
        <v>-4220.929999999993</v>
      </c>
    </row>
    <row r="11" spans="1:22" s="11" customFormat="1" ht="23.25" customHeight="1" thickBot="1">
      <c r="A11" s="98"/>
      <c r="B11" s="14" t="s">
        <v>2</v>
      </c>
      <c r="C11" s="42">
        <f>SUM(C5:C10)</f>
        <v>4147276.16</v>
      </c>
      <c r="D11" s="42">
        <f aca="true" t="shared" si="6" ref="D11:V11">SUM(D5:D10)</f>
        <v>411671.05</v>
      </c>
      <c r="E11" s="42">
        <f t="shared" si="6"/>
        <v>487711.22000000003</v>
      </c>
      <c r="F11" s="42">
        <f>F5+F9+F10</f>
        <v>10242.419999999991</v>
      </c>
      <c r="G11" s="42">
        <f t="shared" si="6"/>
        <v>215759.72615384616</v>
      </c>
      <c r="H11" s="42">
        <f t="shared" si="6"/>
        <v>348328.95</v>
      </c>
      <c r="I11" s="42">
        <f t="shared" si="6"/>
        <v>10242.419999999991</v>
      </c>
      <c r="J11" s="42">
        <f t="shared" si="6"/>
        <v>358571.36999999994</v>
      </c>
      <c r="K11" s="42">
        <f t="shared" si="6"/>
        <v>0</v>
      </c>
      <c r="L11" s="42">
        <f t="shared" si="6"/>
        <v>0</v>
      </c>
      <c r="M11" s="42">
        <f t="shared" si="6"/>
        <v>410000</v>
      </c>
      <c r="N11" s="42">
        <f aca="true" t="shared" si="7" ref="N11:T11">SUM(N5:N10)</f>
        <v>0</v>
      </c>
      <c r="O11" s="42">
        <f t="shared" si="7"/>
        <v>0</v>
      </c>
      <c r="P11" s="42">
        <f t="shared" si="7"/>
        <v>410000</v>
      </c>
      <c r="Q11" s="42">
        <f t="shared" si="7"/>
        <v>0</v>
      </c>
      <c r="R11" s="42">
        <f t="shared" si="7"/>
        <v>0</v>
      </c>
      <c r="S11" s="42">
        <f t="shared" si="7"/>
        <v>1256282.5899999999</v>
      </c>
      <c r="T11" s="42">
        <f t="shared" si="7"/>
        <v>1256282.5899999999</v>
      </c>
      <c r="U11" s="42">
        <f t="shared" si="6"/>
        <v>487711.22000000003</v>
      </c>
      <c r="V11" s="41">
        <f t="shared" si="6"/>
        <v>0</v>
      </c>
    </row>
    <row r="12" spans="1:22" s="6" customFormat="1" ht="29.25" customHeight="1" thickBot="1">
      <c r="A12" s="96">
        <v>7</v>
      </c>
      <c r="B12" s="91" t="s">
        <v>14</v>
      </c>
      <c r="C12" s="153">
        <v>184140</v>
      </c>
      <c r="D12" s="50">
        <v>10000</v>
      </c>
      <c r="E12" s="188">
        <v>14000</v>
      </c>
      <c r="F12" s="251">
        <f>D12-E12</f>
        <v>-4000</v>
      </c>
      <c r="G12" s="52">
        <v>0</v>
      </c>
      <c r="H12" s="50">
        <v>10000</v>
      </c>
      <c r="I12" s="50">
        <v>0</v>
      </c>
      <c r="J12" s="132">
        <f>H12+I12</f>
        <v>10000</v>
      </c>
      <c r="K12" s="51"/>
      <c r="L12" s="170"/>
      <c r="M12" s="50">
        <v>10000</v>
      </c>
      <c r="N12" s="50"/>
      <c r="O12" s="51"/>
      <c r="P12" s="23"/>
      <c r="Q12" s="23">
        <v>0</v>
      </c>
      <c r="R12" s="23">
        <v>0</v>
      </c>
      <c r="S12" s="163">
        <f t="shared" si="4"/>
        <v>34000</v>
      </c>
      <c r="T12" s="124">
        <f t="shared" si="5"/>
        <v>34000</v>
      </c>
      <c r="U12" s="83">
        <f t="shared" si="3"/>
        <v>14000</v>
      </c>
      <c r="V12" s="214">
        <f>I12</f>
        <v>0</v>
      </c>
    </row>
    <row r="13" spans="1:22" s="7" customFormat="1" ht="21" customHeight="1" thickBot="1">
      <c r="A13" s="119"/>
      <c r="B13" s="53" t="s">
        <v>3</v>
      </c>
      <c r="C13" s="48">
        <f>C12</f>
        <v>184140</v>
      </c>
      <c r="D13" s="48">
        <f aca="true" t="shared" si="8" ref="D13:V13">D12</f>
        <v>10000</v>
      </c>
      <c r="E13" s="48">
        <f t="shared" si="8"/>
        <v>14000</v>
      </c>
      <c r="F13" s="48">
        <v>0</v>
      </c>
      <c r="G13" s="48">
        <f t="shared" si="8"/>
        <v>0</v>
      </c>
      <c r="H13" s="48">
        <f t="shared" si="8"/>
        <v>10000</v>
      </c>
      <c r="I13" s="48">
        <f t="shared" si="8"/>
        <v>0</v>
      </c>
      <c r="J13" s="48">
        <f t="shared" si="8"/>
        <v>10000</v>
      </c>
      <c r="K13" s="48">
        <f t="shared" si="8"/>
        <v>0</v>
      </c>
      <c r="L13" s="48">
        <f t="shared" si="8"/>
        <v>0</v>
      </c>
      <c r="M13" s="48">
        <f t="shared" si="8"/>
        <v>10000</v>
      </c>
      <c r="N13" s="48">
        <f t="shared" si="8"/>
        <v>0</v>
      </c>
      <c r="O13" s="48">
        <f t="shared" si="8"/>
        <v>0</v>
      </c>
      <c r="P13" s="48">
        <f t="shared" si="8"/>
        <v>0</v>
      </c>
      <c r="Q13" s="48">
        <f t="shared" si="8"/>
        <v>0</v>
      </c>
      <c r="R13" s="48">
        <f t="shared" si="8"/>
        <v>0</v>
      </c>
      <c r="S13" s="48">
        <f t="shared" si="8"/>
        <v>34000</v>
      </c>
      <c r="T13" s="48">
        <f t="shared" si="8"/>
        <v>34000</v>
      </c>
      <c r="U13" s="48">
        <f t="shared" si="8"/>
        <v>14000</v>
      </c>
      <c r="V13" s="48">
        <f t="shared" si="8"/>
        <v>0</v>
      </c>
    </row>
    <row r="14" spans="1:22" s="148" customFormat="1" ht="28.5" customHeight="1" thickBot="1">
      <c r="A14" s="146"/>
      <c r="B14" s="147" t="s">
        <v>4</v>
      </c>
      <c r="C14" s="41">
        <f>C11+C13</f>
        <v>4331416.16</v>
      </c>
      <c r="D14" s="41">
        <f aca="true" t="shared" si="9" ref="D14:V14">D11+D13</f>
        <v>421671.05</v>
      </c>
      <c r="E14" s="41">
        <f t="shared" si="9"/>
        <v>501711.22000000003</v>
      </c>
      <c r="F14" s="254">
        <f t="shared" si="9"/>
        <v>10242.419999999991</v>
      </c>
      <c r="G14" s="41">
        <f t="shared" si="9"/>
        <v>215759.72615384616</v>
      </c>
      <c r="H14" s="41">
        <f t="shared" si="9"/>
        <v>358328.95</v>
      </c>
      <c r="I14" s="254">
        <f t="shared" si="9"/>
        <v>10242.419999999991</v>
      </c>
      <c r="J14" s="41">
        <f t="shared" si="9"/>
        <v>368571.36999999994</v>
      </c>
      <c r="K14" s="41">
        <f t="shared" si="9"/>
        <v>0</v>
      </c>
      <c r="L14" s="41">
        <f t="shared" si="9"/>
        <v>0</v>
      </c>
      <c r="M14" s="41">
        <f t="shared" si="9"/>
        <v>420000</v>
      </c>
      <c r="N14" s="41">
        <f t="shared" si="9"/>
        <v>0</v>
      </c>
      <c r="O14" s="41">
        <f t="shared" si="9"/>
        <v>0</v>
      </c>
      <c r="P14" s="41">
        <f t="shared" si="9"/>
        <v>410000</v>
      </c>
      <c r="Q14" s="41">
        <f t="shared" si="9"/>
        <v>0</v>
      </c>
      <c r="R14" s="41">
        <f t="shared" si="9"/>
        <v>0</v>
      </c>
      <c r="S14" s="41">
        <f t="shared" si="9"/>
        <v>1290282.5899999999</v>
      </c>
      <c r="T14" s="41">
        <f t="shared" si="9"/>
        <v>1290282.5899999999</v>
      </c>
      <c r="U14" s="41">
        <f t="shared" si="9"/>
        <v>501711.22000000003</v>
      </c>
      <c r="V14" s="41">
        <f t="shared" si="9"/>
        <v>0</v>
      </c>
    </row>
    <row r="15" spans="1:21" s="40" customFormat="1" ht="25.5" customHeight="1" thickBot="1">
      <c r="A15" s="29"/>
      <c r="B15" s="38"/>
      <c r="C15" s="157"/>
      <c r="D15" s="202" t="s">
        <v>46</v>
      </c>
      <c r="E15" s="166">
        <f>-(F6+F7+F8+F12)</f>
        <v>90282.59</v>
      </c>
      <c r="F15" s="122" t="s">
        <v>69</v>
      </c>
      <c r="G15" s="255">
        <f>F14*100/G14</f>
        <v>4.747141731491027</v>
      </c>
      <c r="H15" s="31"/>
      <c r="I15" s="31"/>
      <c r="J15" s="260"/>
      <c r="K15" s="261"/>
      <c r="L15" s="256"/>
      <c r="M15" s="217"/>
      <c r="N15" s="217"/>
      <c r="O15" s="218"/>
      <c r="P15" s="219"/>
      <c r="Q15" s="129"/>
      <c r="R15" s="129"/>
      <c r="S15" s="129"/>
      <c r="T15" s="220"/>
      <c r="U15" s="193"/>
    </row>
    <row r="16" spans="1:69" s="40" customFormat="1" ht="34.5" customHeight="1" thickBot="1">
      <c r="A16" s="29"/>
      <c r="B16" s="38"/>
      <c r="C16" s="62"/>
      <c r="D16" s="31"/>
      <c r="E16" s="39"/>
      <c r="F16" s="31"/>
      <c r="G16" s="31"/>
      <c r="H16" s="31"/>
      <c r="I16" s="31"/>
      <c r="J16" s="264"/>
      <c r="K16" s="264"/>
      <c r="L16" s="31"/>
      <c r="M16" s="31"/>
      <c r="N16" s="31"/>
      <c r="O16" s="223"/>
      <c r="P16" s="31"/>
      <c r="Q16" s="267"/>
      <c r="R16" s="267"/>
      <c r="T16" s="190"/>
      <c r="U16" s="190"/>
      <c r="V16" s="190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</row>
    <row r="17" spans="2:22" s="28" customFormat="1" ht="52.5" customHeight="1" thickBot="1">
      <c r="B17" s="55" t="s">
        <v>15</v>
      </c>
      <c r="C17" s="154" t="s">
        <v>54</v>
      </c>
      <c r="D17" s="18" t="s">
        <v>55</v>
      </c>
      <c r="E17" s="35" t="s">
        <v>17</v>
      </c>
      <c r="F17" s="68" t="s">
        <v>56</v>
      </c>
      <c r="G17" s="120" t="s">
        <v>31</v>
      </c>
      <c r="H17" s="18" t="s">
        <v>45</v>
      </c>
      <c r="I17" s="121" t="s">
        <v>58</v>
      </c>
      <c r="J17" s="123" t="s">
        <v>57</v>
      </c>
      <c r="K17" s="35" t="s">
        <v>18</v>
      </c>
      <c r="L17" s="68" t="s">
        <v>35</v>
      </c>
      <c r="M17" s="19" t="s">
        <v>59</v>
      </c>
      <c r="N17" s="18"/>
      <c r="O17" s="35" t="s">
        <v>30</v>
      </c>
      <c r="P17" s="68" t="s">
        <v>43</v>
      </c>
      <c r="Q17" s="120" t="s">
        <v>40</v>
      </c>
      <c r="R17" s="120" t="s">
        <v>60</v>
      </c>
      <c r="S17" s="162" t="s">
        <v>61</v>
      </c>
      <c r="T17" s="189" t="s">
        <v>62</v>
      </c>
      <c r="U17" s="183" t="s">
        <v>63</v>
      </c>
      <c r="V17" s="88" t="s">
        <v>64</v>
      </c>
    </row>
    <row r="18" spans="2:22" s="28" customFormat="1" ht="43.5" customHeight="1" thickBot="1">
      <c r="B18" s="56" t="s">
        <v>12</v>
      </c>
      <c r="C18" s="155">
        <f>C14+'FEB2022-R'!C22</f>
        <v>8167822.16</v>
      </c>
      <c r="D18" s="57">
        <f>D14+'FEB2022-R'!D22</f>
        <v>687810.05</v>
      </c>
      <c r="E18" s="58">
        <f>E14+'FEB2022-R'!E22</f>
        <v>934163.22</v>
      </c>
      <c r="F18" s="66">
        <f>F14+'FEB2022-R'!F22</f>
        <v>28514.41999999999</v>
      </c>
      <c r="G18" s="127"/>
      <c r="H18" s="78">
        <f>H14+'FEB2022-R'!H22</f>
        <v>612189.95</v>
      </c>
      <c r="I18" s="76">
        <f>I14+'FEB2022-R'!I22</f>
        <v>28514.41999999999</v>
      </c>
      <c r="J18" s="230">
        <f>J14+'FEB2022-R'!J22</f>
        <v>640704.3699999999</v>
      </c>
      <c r="K18" s="231">
        <f>K14+'FEB2022-R'!K22</f>
        <v>0</v>
      </c>
      <c r="L18" s="232">
        <f>'FEB2022-R'!L22</f>
        <v>0</v>
      </c>
      <c r="M18" s="233">
        <f>M14+'FEB2022-R'!M22</f>
        <v>699999.99938847</v>
      </c>
      <c r="N18" s="244">
        <f>M14+'FEB2022-R'!O22</f>
        <v>420000</v>
      </c>
      <c r="O18" s="234"/>
      <c r="P18" s="76" t="e">
        <f>M15+#REF!</f>
        <v>#REF!</v>
      </c>
      <c r="Q18" s="235"/>
      <c r="R18" s="76" t="e">
        <f>R14+#REF!</f>
        <v>#REF!</v>
      </c>
      <c r="S18" s="236">
        <f>S14+'FEB2022-R'!T22</f>
        <v>2274867.5893884697</v>
      </c>
      <c r="T18" s="237">
        <f>T14+'FEB2022-R'!U22</f>
        <v>2274867.5893884697</v>
      </c>
      <c r="U18" s="238">
        <f>U14+'FEB2022-R'!V22</f>
        <v>934163.22</v>
      </c>
      <c r="V18" s="239">
        <f>V14+'FEB2022-R'!W22</f>
        <v>0</v>
      </c>
    </row>
    <row r="19" spans="3:21" ht="41.25" customHeight="1" thickBot="1">
      <c r="C19" s="203"/>
      <c r="D19" s="156"/>
      <c r="E19" s="240" t="s">
        <v>66</v>
      </c>
      <c r="F19" s="205">
        <f>E15+'FEB2022-R'!E23</f>
        <v>274867.58999999997</v>
      </c>
      <c r="G19" s="262" t="s">
        <v>49</v>
      </c>
      <c r="H19" s="263"/>
      <c r="I19" s="263"/>
      <c r="J19" s="265" t="s">
        <v>51</v>
      </c>
      <c r="K19" s="266"/>
      <c r="L19" s="161">
        <f>L15+'FEB2022-R'!K23</f>
        <v>0</v>
      </c>
      <c r="M19" s="268"/>
      <c r="N19" s="268"/>
      <c r="O19" s="268"/>
      <c r="P19" s="227"/>
      <c r="Q19" s="269"/>
      <c r="R19" s="269"/>
      <c r="S19" s="227"/>
      <c r="T19" s="228"/>
      <c r="U19" s="229"/>
    </row>
    <row r="20" spans="2:21" ht="36" customHeight="1" thickBot="1">
      <c r="B20" s="253" t="s">
        <v>67</v>
      </c>
      <c r="C20" s="199">
        <f>1300000+700000</f>
        <v>2000000</v>
      </c>
      <c r="D20" s="143"/>
      <c r="E20" s="168">
        <f>F19+L19</f>
        <v>274867.58999999997</v>
      </c>
      <c r="F20" s="246" t="s">
        <v>68</v>
      </c>
      <c r="G20" s="143"/>
      <c r="H20" s="143"/>
      <c r="I20" s="143"/>
      <c r="J20" s="81"/>
      <c r="K20" s="107"/>
      <c r="L20" s="81"/>
      <c r="M20" s="81"/>
      <c r="N20" s="81"/>
      <c r="O20" s="81"/>
      <c r="P20" s="81"/>
      <c r="Q20" s="81"/>
      <c r="R20" s="81"/>
      <c r="S20" s="81"/>
      <c r="T20" s="224" t="s">
        <v>70</v>
      </c>
      <c r="U20" s="196">
        <f>T18-C20</f>
        <v>274867.5893884697</v>
      </c>
    </row>
    <row r="21" spans="2:21" ht="25.5" customHeight="1" hidden="1" thickBot="1">
      <c r="B21" s="135"/>
      <c r="C21" s="136">
        <v>466000</v>
      </c>
      <c r="D21" s="144"/>
      <c r="E21" s="212"/>
      <c r="F21" s="144"/>
      <c r="G21" s="144"/>
      <c r="H21" s="144"/>
      <c r="I21" s="144"/>
      <c r="J21" s="225" t="s">
        <v>37</v>
      </c>
      <c r="K21" s="226" t="e">
        <f>L15+#REF!</f>
        <v>#REF!</v>
      </c>
      <c r="L21" s="144"/>
      <c r="M21" s="144"/>
      <c r="N21" s="144"/>
      <c r="O21" s="144"/>
      <c r="P21" s="144"/>
      <c r="Q21" s="144"/>
      <c r="R21" s="144"/>
      <c r="S21" s="140"/>
      <c r="T21" s="195" t="e">
        <f>#REF!</f>
        <v>#REF!</v>
      </c>
      <c r="U21" s="39" t="e">
        <f>U20-#REF!</f>
        <v>#REF!</v>
      </c>
    </row>
    <row r="22" spans="2:21" ht="25.5" customHeight="1" hidden="1" thickBot="1">
      <c r="B22" s="138"/>
      <c r="C22" s="141"/>
      <c r="D22" s="139"/>
      <c r="E22" s="139"/>
      <c r="F22" s="139"/>
      <c r="G22" s="139"/>
      <c r="H22" s="139"/>
      <c r="I22" s="139"/>
      <c r="J22" s="139"/>
      <c r="K22" s="139"/>
      <c r="L22" s="139"/>
      <c r="M22" s="139" t="s">
        <v>38</v>
      </c>
      <c r="N22" s="139"/>
      <c r="O22" s="139"/>
      <c r="P22" s="139"/>
      <c r="Q22" s="139"/>
      <c r="R22" s="139"/>
      <c r="S22" s="141" t="e">
        <f>C20+S20-K21</f>
        <v>#REF!</v>
      </c>
      <c r="T22" s="194">
        <v>667000</v>
      </c>
      <c r="U22" s="175"/>
    </row>
    <row r="23" spans="2:21" ht="25.5" customHeight="1" hidden="1" thickBot="1">
      <c r="B23" s="164"/>
      <c r="C23" s="169">
        <v>3070000</v>
      </c>
      <c r="D23" s="142"/>
      <c r="E23" s="173">
        <v>3186320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5"/>
      <c r="T23" s="107" t="e">
        <f>T21-T22</f>
        <v>#REF!</v>
      </c>
      <c r="U23" s="34"/>
    </row>
    <row r="24" spans="2:21" ht="19.5" customHeight="1" hidden="1" thickBot="1">
      <c r="B24" s="164"/>
      <c r="C24" s="178">
        <v>72293.07</v>
      </c>
      <c r="D24" s="179"/>
      <c r="E24" s="179">
        <v>3323950</v>
      </c>
      <c r="S24" s="2"/>
      <c r="T24" s="107"/>
      <c r="U24" s="34"/>
    </row>
    <row r="25" spans="2:21" ht="25.5" customHeight="1" hidden="1" thickBot="1">
      <c r="B25" s="181"/>
      <c r="C25" s="182">
        <v>3982180</v>
      </c>
      <c r="S25" s="133">
        <v>3982180</v>
      </c>
      <c r="T25" s="174"/>
      <c r="U25" s="176"/>
    </row>
    <row r="26" spans="2:21" ht="15" customHeight="1" thickBot="1">
      <c r="B26" s="164"/>
      <c r="C26" s="184"/>
      <c r="D26" s="185"/>
      <c r="E26" s="186"/>
      <c r="T26" s="174"/>
      <c r="U26" s="92"/>
    </row>
    <row r="27" spans="2:20" ht="25.5" customHeight="1" thickBot="1">
      <c r="B27" s="187"/>
      <c r="C27" s="201"/>
      <c r="D27" s="204"/>
      <c r="E27" s="160"/>
      <c r="F27" s="245"/>
      <c r="G27" s="245"/>
      <c r="H27" s="245"/>
      <c r="I27" s="245"/>
      <c r="J27" s="245"/>
      <c r="K27" s="245"/>
      <c r="L27" s="180"/>
      <c r="M27" s="180"/>
      <c r="N27" s="180"/>
      <c r="O27" s="180"/>
      <c r="P27" s="180"/>
      <c r="Q27" s="180"/>
      <c r="R27" s="180"/>
      <c r="S27" s="200"/>
      <c r="T27" s="191"/>
    </row>
  </sheetData>
  <sheetProtection/>
  <mergeCells count="7">
    <mergeCell ref="G19:I19"/>
    <mergeCell ref="J15:K15"/>
    <mergeCell ref="J16:K16"/>
    <mergeCell ref="J19:K19"/>
    <mergeCell ref="Q16:R16"/>
    <mergeCell ref="M19:O19"/>
    <mergeCell ref="Q19:R19"/>
  </mergeCells>
  <printOptions/>
  <pageMargins left="0.16" right="0.16" top="0.48" bottom="0.21" header="0.68" footer="0.17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 Ichim</cp:lastModifiedBy>
  <cp:lastPrinted>2023-03-01T15:16:27Z</cp:lastPrinted>
  <dcterms:created xsi:type="dcterms:W3CDTF">2010-05-25T05:24:31Z</dcterms:created>
  <dcterms:modified xsi:type="dcterms:W3CDTF">2023-03-09T11:45:45Z</dcterms:modified>
  <cp:category/>
  <cp:version/>
  <cp:contentType/>
  <cp:contentStatus/>
</cp:coreProperties>
</file>