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784" firstSheet="1" activeTab="1"/>
  </bookViews>
  <sheets>
    <sheet name="suplimNOV-DEC-R" sheetId="1" r:id="rId1"/>
    <sheet name="suplimNOV-DEC2022-L" sheetId="2" r:id="rId2"/>
    <sheet name="dupaOCT2022-R" sheetId="3" r:id="rId3"/>
    <sheet name="dupaOCT2022-L" sheetId="4" r:id="rId4"/>
    <sheet name="SEP2022-R" sheetId="5" r:id="rId5"/>
    <sheet name="SEP2022-L" sheetId="6" r:id="rId6"/>
    <sheet name="TR 4 2022-R" sheetId="7" r:id="rId7"/>
    <sheet name="TR 4 2022-L" sheetId="8" r:id="rId8"/>
    <sheet name="AUG2022-R" sheetId="9" r:id="rId9"/>
    <sheet name="AUG2022-L" sheetId="10" r:id="rId10"/>
    <sheet name="IUL2022-R" sheetId="11" r:id="rId11"/>
    <sheet name="IUL2022-L" sheetId="12" r:id="rId12"/>
    <sheet name="MAI2022-R" sheetId="13" r:id="rId13"/>
    <sheet name="MAI2022-L" sheetId="14" r:id="rId14"/>
    <sheet name="APR2022-R" sheetId="15" r:id="rId15"/>
    <sheet name="APR2022-L" sheetId="16" r:id="rId16"/>
    <sheet name="MAR2022-R" sheetId="17" r:id="rId17"/>
    <sheet name="MAR2022-L" sheetId="18" r:id="rId18"/>
    <sheet name="FEB2022-R" sheetId="19" r:id="rId19"/>
    <sheet name="FEB2022-L" sheetId="20" r:id="rId20"/>
    <sheet name="IAN2022-R" sheetId="21" r:id="rId21"/>
    <sheet name="IAN2022-L" sheetId="22" r:id="rId22"/>
  </sheets>
  <definedNames>
    <definedName name="_xlnm.Print_Area" localSheetId="15">'APR2022-L'!$A$1:$AL$29</definedName>
    <definedName name="_xlnm.Print_Area" localSheetId="14">'APR2022-R'!$A$1:$AN$25</definedName>
    <definedName name="_xlnm.Print_Area" localSheetId="9">'AUG2022-L'!$A$1:$AT$29</definedName>
    <definedName name="_xlnm.Print_Area" localSheetId="8">'AUG2022-R'!$A$1:$AV$25</definedName>
    <definedName name="_xlnm.Print_Area" localSheetId="3">'dupaOCT2022-L'!$A$1:$BK$31</definedName>
    <definedName name="_xlnm.Print_Area" localSheetId="2">'dupaOCT2022-R'!$A$1:$BM$26</definedName>
    <definedName name="_xlnm.Print_Area" localSheetId="19">'FEB2022-L'!$A$1:$V$29</definedName>
    <definedName name="_xlnm.Print_Area" localSheetId="18">'FEB2022-R'!$A$1:$X$25</definedName>
    <definedName name="_xlnm.Print_Area" localSheetId="21">'IAN2022-L'!$A$1:$U$29</definedName>
    <definedName name="_xlnm.Print_Area" localSheetId="20">'IAN2022-R'!$A$1:$U$25</definedName>
    <definedName name="_xlnm.Print_Area" localSheetId="11">'IUL2022-L'!$A$1:$AR$29</definedName>
    <definedName name="_xlnm.Print_Area" localSheetId="10">'IUL2022-R'!$A$1:$AT$25</definedName>
    <definedName name="_xlnm.Print_Area" localSheetId="13">'MAI2022-L'!$A$1:$AN$29</definedName>
    <definedName name="_xlnm.Print_Area" localSheetId="12">'MAI2022-R'!$A$1:$AP$25</definedName>
    <definedName name="_xlnm.Print_Area" localSheetId="17">'MAR2022-L'!$A$1:$X$29</definedName>
    <definedName name="_xlnm.Print_Area" localSheetId="16">'MAR2022-R'!$A$1:$Z$25</definedName>
    <definedName name="_xlnm.Print_Area" localSheetId="5">'SEP2022-L'!$A$1:$BF$31</definedName>
    <definedName name="_xlnm.Print_Area" localSheetId="4">'SEP2022-R'!$A$1:$BH$26</definedName>
    <definedName name="_xlnm.Print_Area" localSheetId="1">'suplimNOV-DEC2022-L'!$A$1:$BP$31</definedName>
    <definedName name="_xlnm.Print_Area" localSheetId="0">'suplimNOV-DEC-R'!$A$1:$BR$26</definedName>
    <definedName name="_xlnm.Print_Area" localSheetId="7">'TR 4 2022-L'!$A$1:$BA$29</definedName>
    <definedName name="_xlnm.Print_Area" localSheetId="6">'TR 4 2022-R'!$A$1:$BC$26</definedName>
    <definedName name="_xlnm.Print_Titles" localSheetId="15">'APR2022-L'!$4:$4</definedName>
    <definedName name="_xlnm.Print_Titles" localSheetId="14">'APR2022-R'!$4:$4</definedName>
    <definedName name="_xlnm.Print_Titles" localSheetId="9">'AUG2022-L'!$4:$4</definedName>
    <definedName name="_xlnm.Print_Titles" localSheetId="8">'AUG2022-R'!$4:$4</definedName>
    <definedName name="_xlnm.Print_Titles" localSheetId="3">'dupaOCT2022-L'!$4:$4</definedName>
    <definedName name="_xlnm.Print_Titles" localSheetId="2">'dupaOCT2022-R'!$4:$4</definedName>
    <definedName name="_xlnm.Print_Titles" localSheetId="19">'FEB2022-L'!$4:$4</definedName>
    <definedName name="_xlnm.Print_Titles" localSheetId="18">'FEB2022-R'!$4:$4</definedName>
    <definedName name="_xlnm.Print_Titles" localSheetId="21">'IAN2022-L'!$4:$4</definedName>
    <definedName name="_xlnm.Print_Titles" localSheetId="20">'IAN2022-R'!$4:$4</definedName>
    <definedName name="_xlnm.Print_Titles" localSheetId="11">'IUL2022-L'!$4:$4</definedName>
    <definedName name="_xlnm.Print_Titles" localSheetId="10">'IUL2022-R'!$4:$4</definedName>
    <definedName name="_xlnm.Print_Titles" localSheetId="13">'MAI2022-L'!$4:$4</definedName>
    <definedName name="_xlnm.Print_Titles" localSheetId="12">'MAI2022-R'!$4:$4</definedName>
    <definedName name="_xlnm.Print_Titles" localSheetId="17">'MAR2022-L'!$4:$4</definedName>
    <definedName name="_xlnm.Print_Titles" localSheetId="16">'MAR2022-R'!$4:$4</definedName>
    <definedName name="_xlnm.Print_Titles" localSheetId="5">'SEP2022-L'!$4:$4</definedName>
    <definedName name="_xlnm.Print_Titles" localSheetId="4">'SEP2022-R'!$4:$4</definedName>
    <definedName name="_xlnm.Print_Titles" localSheetId="1">'suplimNOV-DEC2022-L'!$4:$4</definedName>
    <definedName name="_xlnm.Print_Titles" localSheetId="0">'suplimNOV-DEC-R'!$4:$4</definedName>
    <definedName name="_xlnm.Print_Titles" localSheetId="7">'TR 4 2022-L'!$4:$4</definedName>
    <definedName name="_xlnm.Print_Titles" localSheetId="6">'TR 4 2022-R'!$4:$4</definedName>
  </definedNames>
  <calcPr fullCalcOnLoad="1"/>
</workbook>
</file>

<file path=xl/sharedStrings.xml><?xml version="1.0" encoding="utf-8"?>
<sst xmlns="http://schemas.openxmlformats.org/spreadsheetml/2006/main" count="2275" uniqueCount="192">
  <si>
    <t xml:space="preserve">Furnizor </t>
  </si>
  <si>
    <t>TOTAL RADIOLOGIE</t>
  </si>
  <si>
    <t>TOTAL I - analize laborator</t>
  </si>
  <si>
    <t>TOTAL II - anatomo-patologie</t>
  </si>
  <si>
    <t>TOTAL I+II - LABORATOARE</t>
  </si>
  <si>
    <t>SC OVIORI SRL - EKO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</si>
  <si>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</si>
  <si>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</si>
  <si>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</si>
  <si>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</si>
  <si>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</si>
  <si>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</si>
  <si>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</si>
  <si>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TOTAL CONTRACTAT (laboratoare+radiologie imagistica)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</si>
  <si>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</si>
  <si>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</si>
  <si>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</si>
  <si>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</si>
  <si>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</si>
  <si>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</si>
  <si>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</si>
  <si>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</si>
  <si>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</si>
  <si>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</si>
  <si>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</si>
  <si>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</si>
  <si>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</si>
  <si>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MEDCENTER - punct de lucru BRAILA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</si>
  <si>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</si>
  <si>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</si>
  <si>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</si>
  <si>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</si>
  <si>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</si>
  <si>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Medie realizari 13 luni (pt cei ce au realizat ctr)</t>
  </si>
  <si>
    <t>% pt Reg=</t>
  </si>
  <si>
    <t>ANEXA 1</t>
  </si>
  <si>
    <r>
      <t xml:space="preserve">VENETIA MEDICAL </t>
    </r>
    <r>
      <rPr>
        <b/>
        <i/>
        <sz val="8"/>
        <rFont val="TimesRomanR"/>
        <family val="0"/>
      </rPr>
      <t>(in ctr din aug.2019 !)</t>
    </r>
  </si>
  <si>
    <t>Suma nerealizata FEB2021 (cu - in SIUI)</t>
  </si>
  <si>
    <t>MAR2021</t>
  </si>
  <si>
    <t>suplim Monitor=</t>
  </si>
  <si>
    <t>Pentru rezerva =</t>
  </si>
  <si>
    <t xml:space="preserve">Rezerva = </t>
  </si>
  <si>
    <t>Verificare =</t>
  </si>
  <si>
    <t>TOTAL RADIOLOGIE-IMAGISTICA</t>
  </si>
  <si>
    <t>suplim Monitor MAR2021=</t>
  </si>
  <si>
    <t>Medie realizari 3 luni (pt cei ce au realizat ctr)</t>
  </si>
  <si>
    <t>REG dupa MARTIE2021</t>
  </si>
  <si>
    <t>Pentru regularizare =</t>
  </si>
  <si>
    <t>din care: Covid = 5871 /Onco = 91939,03</t>
  </si>
  <si>
    <t>Suma nerealizata MAR2021(cu - in SIUI)</t>
  </si>
  <si>
    <t>SC NEWVITALCLINIC SRL</t>
  </si>
  <si>
    <t xml:space="preserve">AN 2021 REALIZAT final </t>
  </si>
  <si>
    <t>IAN2022</t>
  </si>
  <si>
    <t>Suma nerealizata IAN2022 (cu - in SIUI)</t>
  </si>
  <si>
    <t>FEB2022</t>
  </si>
  <si>
    <t>AN 2022 REALIZAT</t>
  </si>
  <si>
    <t>REG dupa IAN2022</t>
  </si>
  <si>
    <t>FEB reg dupa IAN2022</t>
  </si>
  <si>
    <t xml:space="preserve">TRIM I 2022 </t>
  </si>
  <si>
    <t>AN 2022 contractat cu Monitorizari</t>
  </si>
  <si>
    <t xml:space="preserve">CA / AN 2022 = </t>
  </si>
  <si>
    <t xml:space="preserve">CONTRACTAT pt IAN+FEB= </t>
  </si>
  <si>
    <t>1072,73 mii lei</t>
  </si>
  <si>
    <t>din care 82,73 mii lei pt MONITORIZARI DEC2021</t>
  </si>
  <si>
    <t>Monitorizari</t>
  </si>
  <si>
    <t>TOTAL suplim Monitorizari/ dec2021=</t>
  </si>
  <si>
    <t>TOTAL Monitorizari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</si>
  <si>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2022</t>
    </r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</si>
  <si>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2022</t>
    </r>
  </si>
  <si>
    <t>din care Covid=8110,98 /Onco=89579,15/ Diab=5007,76lei</t>
  </si>
  <si>
    <t>Diferenta fatza de CA=</t>
  </si>
  <si>
    <t>Suma pt AA  de REG din FEB</t>
  </si>
  <si>
    <t>Suma pt AA  de REG din MAR</t>
  </si>
  <si>
    <t xml:space="preserve">Monitorizari = </t>
  </si>
  <si>
    <t>TOTAL Monitorizari IAN2022   =</t>
  </si>
  <si>
    <t>Medie realizari 14 luni (pt cei ce au realizat ctr)</t>
  </si>
  <si>
    <t>REG dupa FEB2022</t>
  </si>
  <si>
    <t>MAR reg dupa FEB</t>
  </si>
  <si>
    <t>TOTAL Monitorizari FEB2022   =</t>
  </si>
  <si>
    <t xml:space="preserve">CONTRACTAT pt TRIM I 2022= </t>
  </si>
  <si>
    <t>TOTAL 2022 pt Monit</t>
  </si>
  <si>
    <t>1773,90 mii lei</t>
  </si>
  <si>
    <t>din care 288,90 mii lei pt MONITORIZARI DEC2021+IAN2022+FEB2022</t>
  </si>
  <si>
    <t>Suma nerealizata FEB2022 (cu - in SIUI)</t>
  </si>
  <si>
    <t>MAR2022</t>
  </si>
  <si>
    <t>Suma nerealizata MAR2022(cu - in SIUI)</t>
  </si>
  <si>
    <t>APR2022</t>
  </si>
  <si>
    <t xml:space="preserve">TRIM II 2022 </t>
  </si>
  <si>
    <t>MAI2022</t>
  </si>
  <si>
    <t>IUN2022</t>
  </si>
  <si>
    <t>REZERVA=</t>
  </si>
  <si>
    <t>TOTAL Monitorizari MAR2022   =</t>
  </si>
  <si>
    <t>Aprilie</t>
  </si>
  <si>
    <t>500 mii lei</t>
  </si>
  <si>
    <t xml:space="preserve">TOTAL 4 LUNI = </t>
  </si>
  <si>
    <t>APR realizat</t>
  </si>
  <si>
    <t>Suma nerealizata APR2022(cu - in SIUI)</t>
  </si>
  <si>
    <t>MAI-DEC</t>
  </si>
  <si>
    <t>AUG2022</t>
  </si>
  <si>
    <t>IUL2022</t>
  </si>
  <si>
    <t>SEP2022</t>
  </si>
  <si>
    <t xml:space="preserve">TRIM III 2022 </t>
  </si>
  <si>
    <t>OCT2022</t>
  </si>
  <si>
    <t>NOV2022</t>
  </si>
  <si>
    <t>DEC2022</t>
  </si>
  <si>
    <t xml:space="preserve">TRIM IV 2022 </t>
  </si>
  <si>
    <t xml:space="preserve">Economii Laboratoare = </t>
  </si>
  <si>
    <t xml:space="preserve">Economii Radiologie= </t>
  </si>
  <si>
    <t xml:space="preserve">TRIM I 2022 - realizat </t>
  </si>
  <si>
    <t>MAI 2022</t>
  </si>
  <si>
    <t>IUN 2022</t>
  </si>
  <si>
    <t>IUL 2022</t>
  </si>
  <si>
    <t>AUG 2022</t>
  </si>
  <si>
    <t>SEP 2022</t>
  </si>
  <si>
    <t>OCT 2022</t>
  </si>
  <si>
    <t>NOV 2022</t>
  </si>
  <si>
    <t>DEC 2022</t>
  </si>
  <si>
    <t>TOTAL Monitorizari APR2022   =</t>
  </si>
  <si>
    <t>din care 561,80 mii lei pt MONITORIZARI DEC2021+IAN2022+FEB2022+MAR2022</t>
  </si>
  <si>
    <t>5752,80 mii lei</t>
  </si>
  <si>
    <t>pt2022 = 5670,07 mii lei</t>
  </si>
  <si>
    <t>Medie realizari 16 luni (pt cei ce au realizat ctr)</t>
  </si>
  <si>
    <t>REG dupa APR2022</t>
  </si>
  <si>
    <t>MAI reg dupa APR</t>
  </si>
  <si>
    <t>% pt REG=</t>
  </si>
  <si>
    <t>TOTAL suplim Monitorizari/ dec2021=82,73 mii lei</t>
  </si>
  <si>
    <t>Suma pt AA  de REG din MAI</t>
  </si>
  <si>
    <t>MAI realizat</t>
  </si>
  <si>
    <t>Suma nerealizata MAI2022(cu - in SIUI)</t>
  </si>
  <si>
    <t>TOTAL Monitorizari MAI2022   =</t>
  </si>
  <si>
    <t>Suma pt AA  de REG din IUNIE</t>
  </si>
  <si>
    <t xml:space="preserve">REZ = </t>
  </si>
  <si>
    <t>IUN realizat</t>
  </si>
  <si>
    <t>Suma nerealizata IUN2022(cu - in SIUI)</t>
  </si>
  <si>
    <t>UKR =</t>
  </si>
  <si>
    <t>TOTAL Monitorizari IUNIE2022   =</t>
  </si>
  <si>
    <t>IUL realizat</t>
  </si>
  <si>
    <t>Suma nerealizata IUL2022(cu - in SIUI)</t>
  </si>
  <si>
    <t>TOTAL Monitorizari IULIE2022   =</t>
  </si>
  <si>
    <t>Realizat SEM I</t>
  </si>
  <si>
    <t>TRIM II 2022 realizat</t>
  </si>
  <si>
    <t xml:space="preserve">TRIM II 2022 realizat </t>
  </si>
  <si>
    <t>6120,51 mii lei</t>
  </si>
  <si>
    <t>Suma nerealizata IUL2022 (cu - in SIUI)</t>
  </si>
  <si>
    <t>AUG realizat</t>
  </si>
  <si>
    <t>Suma nerealizata AUG2022(cu - in SIUI)</t>
  </si>
  <si>
    <t>Total Monitoriz. AUG2022 =</t>
  </si>
  <si>
    <t>Prev &gt; 40ani la Praxis =</t>
  </si>
  <si>
    <t>Prev&gt;40 ani</t>
  </si>
  <si>
    <t>7159,30 mii lei</t>
  </si>
  <si>
    <t>283.09.2022</t>
  </si>
  <si>
    <t>Suplim rectif Bugetara</t>
  </si>
  <si>
    <t>TOTAL CA / TRIM IV=</t>
  </si>
  <si>
    <t>Rectif. Bugetara</t>
  </si>
  <si>
    <t>Suplim</t>
  </si>
  <si>
    <t>Oct. suplimentat</t>
  </si>
  <si>
    <t>Nov. suplimentat</t>
  </si>
  <si>
    <t>Dec. suplim.</t>
  </si>
  <si>
    <t>TRIM IV 2022 suplimentat</t>
  </si>
  <si>
    <t>AN2022 suplim. Si contractat cu Monitorizari</t>
  </si>
  <si>
    <t xml:space="preserve">VENETIA MEDICAL </t>
  </si>
  <si>
    <r>
      <t xml:space="preserve">MEDIMA HEALTH SA </t>
    </r>
    <r>
      <rPr>
        <b/>
        <i/>
        <sz val="8"/>
        <rFont val="TimesRomanR"/>
        <family val="0"/>
      </rPr>
      <t>(in ctr din oct2022 !)</t>
    </r>
  </si>
  <si>
    <r>
      <t xml:space="preserve">CENTRUL MEDICAL MATEUS </t>
    </r>
    <r>
      <rPr>
        <b/>
        <i/>
        <sz val="8"/>
        <rFont val="TimesRomanR"/>
        <family val="0"/>
      </rPr>
      <t>(din oct2022)</t>
    </r>
  </si>
  <si>
    <t>SEP realizat</t>
  </si>
  <si>
    <t>Suma nerealizata SEP2022(cu - in SIUI)</t>
  </si>
  <si>
    <t>Total Monitoriz. SEP2022 =</t>
  </si>
  <si>
    <t>TRIM III 2022 realizat</t>
  </si>
  <si>
    <t>Laborator =</t>
  </si>
  <si>
    <t>ECONOMII:</t>
  </si>
  <si>
    <t>Radiologie =</t>
  </si>
  <si>
    <t>Reg pt OCT.</t>
  </si>
  <si>
    <t>Economii =</t>
  </si>
  <si>
    <t xml:space="preserve">% pt REG = </t>
  </si>
  <si>
    <t>Medie realizari 9 luni luni (pt cei ce au realizat ctr)</t>
  </si>
  <si>
    <t>Oct dupa reg.</t>
  </si>
  <si>
    <t>am facut Reg!</t>
  </si>
  <si>
    <t>OCT realizat</t>
  </si>
  <si>
    <t>Suma nerealizata OCT2022(cu - in SIUI)</t>
  </si>
  <si>
    <t>Total Monitoriz. OCT2022 =</t>
  </si>
  <si>
    <t>Medie realizari 10 luni luni (pt cei ce au realizat ctr)</t>
  </si>
  <si>
    <t>Reg pt NOV.</t>
  </si>
  <si>
    <t>NOV dupa reg. oct.</t>
  </si>
  <si>
    <t>Dec. suplim. Dupa RECTIF.</t>
  </si>
  <si>
    <t>7355,05 mii lei</t>
  </si>
  <si>
    <t>Suplim in NOV2022</t>
  </si>
  <si>
    <t>pt NOV2022</t>
  </si>
  <si>
    <t>pt DEC2022</t>
  </si>
  <si>
    <t>NOV suplim2</t>
  </si>
  <si>
    <t>DEC suplim2</t>
  </si>
  <si>
    <t>TRIM IV 2022 suplimentat 2</t>
  </si>
  <si>
    <t>Dec. suplim. 1</t>
  </si>
  <si>
    <t>7839,91 mii lei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</si>
</sst>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#,##0.000000"/>
    <numFmt numFmtId="167" formatCode="#,##0.00000"/>
    <numFmt numFmtId="168" formatCode="#,##0.0000000"/>
    <numFmt numFmtId="169" formatCode="#,##0.00000000"/>
  </numFmts>
  <fonts count="48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b/>
      <sz val="9"/>
      <color indexed="9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sz val="14"/>
      <name val="TimesRomanR"/>
      <family val="0"/>
    </font>
    <font>
      <b/>
      <i/>
      <sz val="8"/>
      <color indexed="9"/>
      <name val="TimesRomanR"/>
      <family val="0"/>
    </font>
    <font>
      <b/>
      <i/>
      <sz val="10"/>
      <color indexed="9"/>
      <name val="TimesRomanR"/>
      <family val="0"/>
    </font>
    <font>
      <b/>
      <sz val="8"/>
      <color indexed="9"/>
      <name val="TimesRomanR"/>
      <family val="0"/>
    </font>
    <font>
      <b/>
      <i/>
      <sz val="12"/>
      <name val="TimesRomanR"/>
      <family val="0"/>
    </font>
    <font>
      <b/>
      <sz val="6"/>
      <name val="TimesRoman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2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8" fillId="22" borderId="13" xfId="0" applyNumberFormat="1" applyFont="1" applyFill="1" applyBorder="1" applyAlignment="1">
      <alignment horizontal="center" vertical="center" wrapText="1"/>
    </xf>
    <xf numFmtId="4" fontId="1" fillId="22" borderId="14" xfId="0" applyNumberFormat="1" applyFont="1" applyFill="1" applyBorder="1" applyAlignment="1">
      <alignment wrapText="1"/>
    </xf>
    <xf numFmtId="4" fontId="1" fillId="22" borderId="1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22" borderId="14" xfId="0" applyNumberFormat="1" applyFont="1" applyFill="1" applyBorder="1" applyAlignment="1">
      <alignment horizontal="right" wrapText="1"/>
    </xf>
    <xf numFmtId="4" fontId="1" fillId="22" borderId="17" xfId="0" applyNumberFormat="1" applyFont="1" applyFill="1" applyBorder="1" applyAlignment="1">
      <alignment horizontal="right" wrapText="1"/>
    </xf>
    <xf numFmtId="4" fontId="6" fillId="3" borderId="18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5" fillId="3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wrapText="1"/>
    </xf>
    <xf numFmtId="4" fontId="1" fillId="22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22" borderId="2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/>
    </xf>
    <xf numFmtId="4" fontId="6" fillId="22" borderId="24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7" borderId="24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22" borderId="18" xfId="0" applyNumberFormat="1" applyFont="1" applyFill="1" applyBorder="1" applyAlignment="1">
      <alignment horizontal="right" wrapText="1"/>
    </xf>
    <xf numFmtId="4" fontId="6" fillId="7" borderId="28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" fontId="6" fillId="24" borderId="18" xfId="0" applyNumberFormat="1" applyFont="1" applyFill="1" applyBorder="1" applyAlignment="1">
      <alignment wrapText="1"/>
    </xf>
    <xf numFmtId="4" fontId="6" fillId="24" borderId="19" xfId="0" applyNumberFormat="1" applyFont="1" applyFill="1" applyBorder="1" applyAlignment="1">
      <alignment wrapText="1"/>
    </xf>
    <xf numFmtId="4" fontId="1" fillId="22" borderId="18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22" borderId="29" xfId="0" applyNumberFormat="1" applyFont="1" applyFill="1" applyBorder="1" applyAlignment="1">
      <alignment/>
    </xf>
    <xf numFmtId="4" fontId="6" fillId="7" borderId="1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wrapText="1"/>
    </xf>
    <xf numFmtId="4" fontId="6" fillId="24" borderId="30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wrapText="1"/>
    </xf>
    <xf numFmtId="4" fontId="1" fillId="0" borderId="32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21" borderId="33" xfId="0" applyNumberFormat="1" applyFont="1" applyFill="1" applyBorder="1" applyAlignment="1">
      <alignment wrapText="1"/>
    </xf>
    <xf numFmtId="0" fontId="36" fillId="0" borderId="16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6" fillId="22" borderId="15" xfId="0" applyNumberFormat="1" applyFont="1" applyFill="1" applyBorder="1" applyAlignment="1">
      <alignment wrapText="1"/>
    </xf>
    <xf numFmtId="4" fontId="6" fillId="22" borderId="16" xfId="0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36" fillId="3" borderId="11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37" fillId="0" borderId="0" xfId="0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left" wrapText="1"/>
    </xf>
    <xf numFmtId="1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4" fontId="14" fillId="8" borderId="33" xfId="0" applyNumberFormat="1" applyFont="1" applyFill="1" applyBorder="1" applyAlignment="1">
      <alignment wrapText="1"/>
    </xf>
    <xf numFmtId="4" fontId="14" fillId="8" borderId="30" xfId="0" applyNumberFormat="1" applyFont="1" applyFill="1" applyBorder="1" applyAlignment="1">
      <alignment/>
    </xf>
    <xf numFmtId="4" fontId="8" fillId="7" borderId="41" xfId="0" applyNumberFormat="1" applyFont="1" applyFill="1" applyBorder="1" applyAlignment="1">
      <alignment horizontal="center" wrapText="1"/>
    </xf>
    <xf numFmtId="166" fontId="8" fillId="7" borderId="11" xfId="0" applyNumberFormat="1" applyFont="1" applyFill="1" applyBorder="1" applyAlignment="1">
      <alignment horizontal="right" wrapText="1"/>
    </xf>
    <xf numFmtId="4" fontId="6" fillId="0" borderId="28" xfId="0" applyNumberFormat="1" applyFont="1" applyFill="1" applyBorder="1" applyAlignment="1">
      <alignment/>
    </xf>
    <xf numFmtId="4" fontId="6" fillId="5" borderId="42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5" fillId="7" borderId="11" xfId="0" applyNumberFormat="1" applyFont="1" applyFill="1" applyBorder="1" applyAlignment="1">
      <alignment horizontal="center" wrapText="1"/>
    </xf>
    <xf numFmtId="4" fontId="6" fillId="3" borderId="43" xfId="0" applyNumberFormat="1" applyFont="1" applyFill="1" applyBorder="1" applyAlignment="1">
      <alignment horizontal="right" wrapText="1"/>
    </xf>
    <xf numFmtId="4" fontId="6" fillId="3" borderId="44" xfId="0" applyNumberFormat="1" applyFont="1" applyFill="1" applyBorder="1" applyAlignment="1">
      <alignment horizontal="right" wrapText="1"/>
    </xf>
    <xf numFmtId="4" fontId="6" fillId="3" borderId="45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center" wrapText="1"/>
    </xf>
    <xf numFmtId="4" fontId="18" fillId="25" borderId="0" xfId="0" applyNumberFormat="1" applyFont="1" applyFill="1" applyBorder="1" applyAlignment="1">
      <alignment horizontal="center" wrapText="1"/>
    </xf>
    <xf numFmtId="4" fontId="6" fillId="7" borderId="3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6" fillId="21" borderId="19" xfId="0" applyNumberFormat="1" applyFont="1" applyFill="1" applyBorder="1" applyAlignment="1">
      <alignment wrapText="1"/>
    </xf>
    <xf numFmtId="4" fontId="6" fillId="21" borderId="18" xfId="0" applyNumberFormat="1" applyFont="1" applyFill="1" applyBorder="1" applyAlignment="1">
      <alignment wrapText="1"/>
    </xf>
    <xf numFmtId="4" fontId="6" fillId="5" borderId="14" xfId="0" applyNumberFormat="1" applyFont="1" applyFill="1" applyBorder="1" applyAlignment="1">
      <alignment wrapText="1"/>
    </xf>
    <xf numFmtId="4" fontId="6" fillId="7" borderId="2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0" fontId="39" fillId="0" borderId="0" xfId="0" applyFont="1" applyFill="1" applyBorder="1" applyAlignment="1">
      <alignment wrapText="1"/>
    </xf>
    <xf numFmtId="0" fontId="6" fillId="20" borderId="46" xfId="0" applyFont="1" applyFill="1" applyBorder="1" applyAlignment="1">
      <alignment horizontal="right"/>
    </xf>
    <xf numFmtId="4" fontId="6" fillId="20" borderId="47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6" fillId="26" borderId="11" xfId="0" applyNumberFormat="1" applyFont="1" applyFill="1" applyBorder="1" applyAlignment="1">
      <alignment horizontal="center" vertical="center" wrapText="1"/>
    </xf>
    <xf numFmtId="4" fontId="6" fillId="26" borderId="48" xfId="0" applyNumberFormat="1" applyFont="1" applyFill="1" applyBorder="1" applyAlignment="1">
      <alignment/>
    </xf>
    <xf numFmtId="4" fontId="1" fillId="20" borderId="49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26" borderId="41" xfId="0" applyNumberFormat="1" applyFont="1" applyFill="1" applyBorder="1" applyAlignment="1">
      <alignment/>
    </xf>
    <xf numFmtId="4" fontId="6" fillId="24" borderId="48" xfId="0" applyNumberFormat="1" applyFont="1" applyFill="1" applyBorder="1" applyAlignment="1">
      <alignment/>
    </xf>
    <xf numFmtId="4" fontId="1" fillId="20" borderId="50" xfId="0" applyNumberFormat="1" applyFont="1" applyFill="1" applyBorder="1" applyAlignment="1">
      <alignment/>
    </xf>
    <xf numFmtId="4" fontId="1" fillId="20" borderId="29" xfId="0" applyNumberFormat="1" applyFont="1" applyFill="1" applyBorder="1" applyAlignment="1">
      <alignment/>
    </xf>
    <xf numFmtId="4" fontId="14" fillId="24" borderId="41" xfId="0" applyNumberFormat="1" applyFont="1" applyFill="1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wrapText="1"/>
    </xf>
    <xf numFmtId="1" fontId="14" fillId="21" borderId="2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6" fillId="21" borderId="48" xfId="0" applyNumberFormat="1" applyFont="1" applyFill="1" applyBorder="1" applyAlignment="1">
      <alignment horizontal="center" vertical="center" wrapText="1"/>
    </xf>
    <xf numFmtId="4" fontId="17" fillId="21" borderId="15" xfId="0" applyNumberFormat="1" applyFont="1" applyFill="1" applyBorder="1" applyAlignment="1">
      <alignment horizontal="right" vertical="center" wrapText="1"/>
    </xf>
    <xf numFmtId="4" fontId="17" fillId="21" borderId="18" xfId="0" applyNumberFormat="1" applyFont="1" applyFill="1" applyBorder="1" applyAlignment="1">
      <alignment horizontal="right" vertical="center" wrapText="1"/>
    </xf>
    <xf numFmtId="4" fontId="17" fillId="21" borderId="17" xfId="0" applyNumberFormat="1" applyFont="1" applyFill="1" applyBorder="1" applyAlignment="1">
      <alignment horizontal="right" vertical="center" wrapText="1"/>
    </xf>
    <xf numFmtId="4" fontId="8" fillId="21" borderId="0" xfId="0" applyNumberFormat="1" applyFont="1" applyFill="1" applyBorder="1" applyAlignment="1">
      <alignment horizontal="right" vertical="center" wrapText="1"/>
    </xf>
    <xf numFmtId="4" fontId="6" fillId="21" borderId="11" xfId="0" applyNumberFormat="1" applyFont="1" applyFill="1" applyBorder="1" applyAlignment="1">
      <alignment horizontal="center" vertical="center" wrapText="1"/>
    </xf>
    <xf numFmtId="4" fontId="6" fillId="21" borderId="30" xfId="0" applyNumberFormat="1" applyFont="1" applyFill="1" applyBorder="1" applyAlignment="1">
      <alignment horizontal="center" wrapText="1"/>
    </xf>
    <xf numFmtId="4" fontId="5" fillId="10" borderId="41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19" xfId="0" applyNumberFormat="1" applyFont="1" applyFill="1" applyBorder="1" applyAlignment="1">
      <alignment horizontal="right" wrapText="1"/>
    </xf>
    <xf numFmtId="4" fontId="6" fillId="5" borderId="33" xfId="0" applyNumberFormat="1" applyFont="1" applyFill="1" applyBorder="1" applyAlignment="1">
      <alignment horizontal="right" wrapText="1"/>
    </xf>
    <xf numFmtId="4" fontId="6" fillId="10" borderId="13" xfId="0" applyNumberFormat="1" applyFont="1" applyFill="1" applyBorder="1" applyAlignment="1">
      <alignment/>
    </xf>
    <xf numFmtId="4" fontId="6" fillId="10" borderId="48" xfId="0" applyNumberFormat="1" applyFont="1" applyFill="1" applyBorder="1" applyAlignment="1">
      <alignment/>
    </xf>
    <xf numFmtId="4" fontId="6" fillId="10" borderId="41" xfId="0" applyNumberFormat="1" applyFont="1" applyFill="1" applyBorder="1" applyAlignment="1">
      <alignment/>
    </xf>
    <xf numFmtId="1" fontId="14" fillId="24" borderId="11" xfId="0" applyNumberFormat="1" applyFont="1" applyFill="1" applyBorder="1" applyAlignment="1">
      <alignment horizontal="center" vertical="center" wrapText="1"/>
    </xf>
    <xf numFmtId="4" fontId="14" fillId="24" borderId="33" xfId="0" applyNumberFormat="1" applyFont="1" applyFill="1" applyBorder="1" applyAlignment="1">
      <alignment wrapText="1"/>
    </xf>
    <xf numFmtId="4" fontId="36" fillId="3" borderId="21" xfId="0" applyNumberFormat="1" applyFont="1" applyFill="1" applyBorder="1" applyAlignment="1">
      <alignment horizontal="center" wrapText="1"/>
    </xf>
    <xf numFmtId="0" fontId="14" fillId="24" borderId="40" xfId="0" applyFont="1" applyFill="1" applyBorder="1" applyAlignment="1">
      <alignment horizontal="right"/>
    </xf>
    <xf numFmtId="4" fontId="6" fillId="7" borderId="13" xfId="0" applyNumberFormat="1" applyFont="1" applyFill="1" applyBorder="1" applyAlignment="1">
      <alignment/>
    </xf>
    <xf numFmtId="4" fontId="6" fillId="7" borderId="41" xfId="0" applyNumberFormat="1" applyFont="1" applyFill="1" applyBorder="1" applyAlignment="1">
      <alignment/>
    </xf>
    <xf numFmtId="4" fontId="7" fillId="10" borderId="48" xfId="0" applyNumberFormat="1" applyFont="1" applyFill="1" applyBorder="1" applyAlignment="1">
      <alignment/>
    </xf>
    <xf numFmtId="164" fontId="8" fillId="7" borderId="22" xfId="0" applyNumberFormat="1" applyFont="1" applyFill="1" applyBorder="1" applyAlignment="1">
      <alignment/>
    </xf>
    <xf numFmtId="166" fontId="5" fillId="7" borderId="30" xfId="0" applyNumberFormat="1" applyFont="1" applyFill="1" applyBorder="1" applyAlignment="1">
      <alignment horizontal="center" wrapText="1"/>
    </xf>
    <xf numFmtId="3" fontId="14" fillId="7" borderId="49" xfId="0" applyNumberFormat="1" applyFont="1" applyFill="1" applyBorder="1" applyAlignment="1">
      <alignment horizontal="center"/>
    </xf>
    <xf numFmtId="167" fontId="5" fillId="7" borderId="30" xfId="0" applyNumberFormat="1" applyFont="1" applyFill="1" applyBorder="1" applyAlignment="1">
      <alignment horizontal="center" wrapText="1"/>
    </xf>
    <xf numFmtId="4" fontId="5" fillId="10" borderId="41" xfId="0" applyNumberFormat="1" applyFont="1" applyFill="1" applyBorder="1" applyAlignment="1">
      <alignment horizontal="right"/>
    </xf>
    <xf numFmtId="4" fontId="5" fillId="10" borderId="11" xfId="0" applyNumberFormat="1" applyFont="1" applyFill="1" applyBorder="1" applyAlignment="1">
      <alignment/>
    </xf>
    <xf numFmtId="4" fontId="6" fillId="10" borderId="11" xfId="0" applyNumberFormat="1" applyFont="1" applyFill="1" applyBorder="1" applyAlignment="1">
      <alignment/>
    </xf>
    <xf numFmtId="3" fontId="3" fillId="24" borderId="51" xfId="0" applyNumberFormat="1" applyFont="1" applyFill="1" applyBorder="1" applyAlignment="1">
      <alignment horizontal="left"/>
    </xf>
    <xf numFmtId="4" fontId="6" fillId="0" borderId="48" xfId="0" applyNumberFormat="1" applyFont="1" applyBorder="1" applyAlignment="1">
      <alignment horizontal="left" wrapText="1"/>
    </xf>
    <xf numFmtId="4" fontId="18" fillId="10" borderId="13" xfId="0" applyNumberFormat="1" applyFont="1" applyFill="1" applyBorder="1" applyAlignment="1">
      <alignment horizontal="left" vertical="center" wrapText="1"/>
    </xf>
    <xf numFmtId="4" fontId="6" fillId="10" borderId="14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horizontal="center" wrapText="1"/>
    </xf>
    <xf numFmtId="4" fontId="6" fillId="10" borderId="14" xfId="0" applyNumberFormat="1" applyFont="1" applyFill="1" applyBorder="1" applyAlignment="1">
      <alignment horizontal="right" wrapText="1"/>
    </xf>
    <xf numFmtId="4" fontId="6" fillId="7" borderId="44" xfId="0" applyNumberFormat="1" applyFont="1" applyFill="1" applyBorder="1" applyAlignment="1">
      <alignment horizontal="right" wrapText="1"/>
    </xf>
    <xf numFmtId="4" fontId="6" fillId="10" borderId="41" xfId="0" applyNumberFormat="1" applyFont="1" applyFill="1" applyBorder="1" applyAlignment="1">
      <alignment horizontal="left" wrapText="1"/>
    </xf>
    <xf numFmtId="4" fontId="5" fillId="10" borderId="48" xfId="0" applyNumberFormat="1" applyFont="1" applyFill="1" applyBorder="1" applyAlignment="1">
      <alignment horizontal="center" wrapText="1"/>
    </xf>
    <xf numFmtId="4" fontId="6" fillId="10" borderId="15" xfId="0" applyNumberFormat="1" applyFont="1" applyFill="1" applyBorder="1" applyAlignment="1">
      <alignment wrapText="1"/>
    </xf>
    <xf numFmtId="3" fontId="6" fillId="24" borderId="48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29" xfId="0" applyNumberFormat="1" applyFont="1" applyFill="1" applyBorder="1" applyAlignment="1">
      <alignment horizontal="left" wrapText="1"/>
    </xf>
    <xf numFmtId="4" fontId="6" fillId="24" borderId="52" xfId="0" applyNumberFormat="1" applyFont="1" applyFill="1" applyBorder="1" applyAlignment="1">
      <alignment/>
    </xf>
    <xf numFmtId="4" fontId="6" fillId="24" borderId="0" xfId="0" applyNumberFormat="1" applyFont="1" applyFill="1" applyAlignment="1">
      <alignment/>
    </xf>
    <xf numFmtId="4" fontId="1" fillId="0" borderId="48" xfId="0" applyNumberFormat="1" applyFont="1" applyFill="1" applyBorder="1" applyAlignment="1">
      <alignment/>
    </xf>
    <xf numFmtId="0" fontId="6" fillId="20" borderId="53" xfId="0" applyFont="1" applyFill="1" applyBorder="1" applyAlignment="1">
      <alignment horizontal="right"/>
    </xf>
    <xf numFmtId="4" fontId="6" fillId="20" borderId="51" xfId="0" applyNumberFormat="1" applyFont="1" applyFill="1" applyBorder="1" applyAlignment="1">
      <alignment/>
    </xf>
    <xf numFmtId="1" fontId="6" fillId="21" borderId="11" xfId="0" applyNumberFormat="1" applyFont="1" applyFill="1" applyBorder="1" applyAlignment="1">
      <alignment horizontal="center" vertical="center" wrapText="1"/>
    </xf>
    <xf numFmtId="4" fontId="6" fillId="24" borderId="50" xfId="0" applyNumberFormat="1" applyFont="1" applyFill="1" applyBorder="1" applyAlignment="1">
      <alignment/>
    </xf>
    <xf numFmtId="4" fontId="1" fillId="24" borderId="50" xfId="0" applyNumberFormat="1" applyFont="1" applyFill="1" applyBorder="1" applyAlignment="1">
      <alignment/>
    </xf>
    <xf numFmtId="4" fontId="6" fillId="24" borderId="51" xfId="0" applyNumberFormat="1" applyFont="1" applyFill="1" applyBorder="1" applyAlignment="1">
      <alignment/>
    </xf>
    <xf numFmtId="0" fontId="42" fillId="5" borderId="13" xfId="0" applyFont="1" applyFill="1" applyBorder="1" applyAlignment="1">
      <alignment horizontal="right"/>
    </xf>
    <xf numFmtId="4" fontId="6" fillId="22" borderId="17" xfId="0" applyNumberFormat="1" applyFont="1" applyFill="1" applyBorder="1" applyAlignment="1">
      <alignment wrapText="1"/>
    </xf>
    <xf numFmtId="1" fontId="6" fillId="8" borderId="1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wrapText="1"/>
    </xf>
    <xf numFmtId="14" fontId="14" fillId="0" borderId="0" xfId="0" applyNumberFormat="1" applyFont="1" applyAlignment="1" quotePrefix="1">
      <alignment/>
    </xf>
    <xf numFmtId="4" fontId="10" fillId="3" borderId="11" xfId="0" applyNumberFormat="1" applyFont="1" applyFill="1" applyBorder="1" applyAlignment="1">
      <alignment horizontal="center" wrapText="1"/>
    </xf>
    <xf numFmtId="4" fontId="6" fillId="7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 horizontal="center" wrapText="1"/>
    </xf>
    <xf numFmtId="4" fontId="44" fillId="7" borderId="41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6" fillId="3" borderId="54" xfId="0" applyNumberFormat="1" applyFont="1" applyFill="1" applyBorder="1" applyAlignment="1">
      <alignment/>
    </xf>
    <xf numFmtId="4" fontId="6" fillId="8" borderId="55" xfId="0" applyNumberFormat="1" applyFont="1" applyFill="1" applyBorder="1" applyAlignment="1">
      <alignment wrapText="1"/>
    </xf>
    <xf numFmtId="4" fontId="6" fillId="8" borderId="56" xfId="0" applyNumberFormat="1" applyFont="1" applyFill="1" applyBorder="1" applyAlignment="1">
      <alignment wrapText="1"/>
    </xf>
    <xf numFmtId="4" fontId="6" fillId="3" borderId="57" xfId="0" applyNumberFormat="1" applyFont="1" applyFill="1" applyBorder="1" applyAlignment="1">
      <alignment horizontal="right" wrapText="1"/>
    </xf>
    <xf numFmtId="4" fontId="3" fillId="21" borderId="34" xfId="0" applyNumberFormat="1" applyFont="1" applyFill="1" applyBorder="1" applyAlignment="1">
      <alignment/>
    </xf>
    <xf numFmtId="0" fontId="10" fillId="4" borderId="58" xfId="0" applyFont="1" applyFill="1" applyBorder="1" applyAlignment="1">
      <alignment/>
    </xf>
    <xf numFmtId="4" fontId="6" fillId="10" borderId="41" xfId="0" applyNumberFormat="1" applyFont="1" applyFill="1" applyBorder="1" applyAlignment="1" quotePrefix="1">
      <alignment horizontal="center"/>
    </xf>
    <xf numFmtId="0" fontId="3" fillId="20" borderId="27" xfId="0" applyFont="1" applyFill="1" applyBorder="1" applyAlignment="1">
      <alignment horizontal="right"/>
    </xf>
    <xf numFmtId="4" fontId="3" fillId="20" borderId="5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4" fontId="6" fillId="5" borderId="41" xfId="0" applyNumberFormat="1" applyFont="1" applyFill="1" applyBorder="1" applyAlignment="1">
      <alignment/>
    </xf>
    <xf numFmtId="4" fontId="18" fillId="10" borderId="41" xfId="0" applyNumberFormat="1" applyFont="1" applyFill="1" applyBorder="1" applyAlignment="1">
      <alignment horizontal="center" wrapText="1"/>
    </xf>
    <xf numFmtId="4" fontId="18" fillId="10" borderId="13" xfId="0" applyNumberFormat="1" applyFont="1" applyFill="1" applyBorder="1" applyAlignment="1">
      <alignment horizontal="right" vertical="center" wrapText="1"/>
    </xf>
    <xf numFmtId="4" fontId="5" fillId="10" borderId="48" xfId="0" applyNumberFormat="1" applyFont="1" applyFill="1" applyBorder="1" applyAlignment="1">
      <alignment/>
    </xf>
    <xf numFmtId="4" fontId="10" fillId="10" borderId="11" xfId="0" applyNumberFormat="1" applyFont="1" applyFill="1" applyBorder="1" applyAlignment="1">
      <alignment horizontal="center" wrapText="1"/>
    </xf>
    <xf numFmtId="4" fontId="3" fillId="10" borderId="41" xfId="0" applyNumberFormat="1" applyFont="1" applyFill="1" applyBorder="1" applyAlignment="1">
      <alignment/>
    </xf>
    <xf numFmtId="4" fontId="6" fillId="22" borderId="14" xfId="0" applyNumberFormat="1" applyFont="1" applyFill="1" applyBorder="1" applyAlignment="1">
      <alignment horizontal="right" wrapText="1"/>
    </xf>
    <xf numFmtId="4" fontId="6" fillId="22" borderId="15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/>
    </xf>
    <xf numFmtId="4" fontId="6" fillId="7" borderId="30" xfId="0" applyNumberFormat="1" applyFont="1" applyFill="1" applyBorder="1" applyAlignment="1">
      <alignment horizontal="right"/>
    </xf>
    <xf numFmtId="166" fontId="7" fillId="7" borderId="49" xfId="0" applyNumberFormat="1" applyFont="1" applyFill="1" applyBorder="1" applyAlignment="1">
      <alignment horizontal="right"/>
    </xf>
    <xf numFmtId="4" fontId="6" fillId="10" borderId="0" xfId="0" applyNumberFormat="1" applyFont="1" applyFill="1" applyBorder="1" applyAlignment="1">
      <alignment wrapText="1"/>
    </xf>
    <xf numFmtId="164" fontId="8" fillId="7" borderId="0" xfId="0" applyNumberFormat="1" applyFont="1" applyFill="1" applyBorder="1" applyAlignment="1">
      <alignment horizontal="center" wrapText="1"/>
    </xf>
    <xf numFmtId="4" fontId="14" fillId="7" borderId="0" xfId="0" applyNumberFormat="1" applyFont="1" applyFill="1" applyBorder="1" applyAlignment="1">
      <alignment horizontal="right" wrapText="1"/>
    </xf>
    <xf numFmtId="4" fontId="18" fillId="10" borderId="0" xfId="0" applyNumberFormat="1" applyFont="1" applyFill="1" applyBorder="1" applyAlignment="1">
      <alignment horizontal="left" vertical="center" wrapText="1"/>
    </xf>
    <xf numFmtId="4" fontId="6" fillId="10" borderId="0" xfId="0" applyNumberFormat="1" applyFont="1" applyFill="1" applyBorder="1" applyAlignment="1">
      <alignment horizontal="right" wrapText="1"/>
    </xf>
    <xf numFmtId="4" fontId="6" fillId="5" borderId="34" xfId="0" applyNumberFormat="1" applyFont="1" applyFill="1" applyBorder="1" applyAlignment="1">
      <alignment horizontal="right" wrapText="1"/>
    </xf>
    <xf numFmtId="4" fontId="6" fillId="24" borderId="60" xfId="0" applyNumberFormat="1" applyFont="1" applyFill="1" applyBorder="1" applyAlignment="1">
      <alignment wrapText="1"/>
    </xf>
    <xf numFmtId="4" fontId="6" fillId="20" borderId="29" xfId="0" applyNumberFormat="1" applyFont="1" applyFill="1" applyBorder="1" applyAlignment="1">
      <alignment/>
    </xf>
    <xf numFmtId="4" fontId="7" fillId="3" borderId="36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6" fillId="0" borderId="18" xfId="0" applyNumberFormat="1" applyFont="1" applyFill="1" applyBorder="1" applyAlignment="1">
      <alignment wrapText="1"/>
    </xf>
    <xf numFmtId="4" fontId="6" fillId="7" borderId="49" xfId="0" applyNumberFormat="1" applyFont="1" applyFill="1" applyBorder="1" applyAlignment="1">
      <alignment horizontal="center"/>
    </xf>
    <xf numFmtId="4" fontId="6" fillId="10" borderId="11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center" wrapText="1"/>
    </xf>
    <xf numFmtId="164" fontId="10" fillId="10" borderId="13" xfId="0" applyNumberFormat="1" applyFont="1" applyFill="1" applyBorder="1" applyAlignment="1">
      <alignment horizontal="center"/>
    </xf>
    <xf numFmtId="164" fontId="10" fillId="10" borderId="48" xfId="0" applyNumberFormat="1" applyFont="1" applyFill="1" applyBorder="1" applyAlignment="1">
      <alignment horizontal="center"/>
    </xf>
    <xf numFmtId="3" fontId="14" fillId="10" borderId="41" xfId="0" applyNumberFormat="1" applyFont="1" applyFill="1" applyBorder="1" applyAlignment="1">
      <alignment horizontal="center"/>
    </xf>
    <xf numFmtId="164" fontId="8" fillId="7" borderId="17" xfId="0" applyNumberFormat="1" applyFont="1" applyFill="1" applyBorder="1" applyAlignment="1">
      <alignment/>
    </xf>
    <xf numFmtId="166" fontId="5" fillId="7" borderId="34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7" fillId="3" borderId="61" xfId="0" applyNumberFormat="1" applyFont="1" applyFill="1" applyBorder="1" applyAlignment="1">
      <alignment wrapText="1"/>
    </xf>
    <xf numFmtId="4" fontId="6" fillId="7" borderId="22" xfId="0" applyNumberFormat="1" applyFont="1" applyFill="1" applyBorder="1" applyAlignment="1">
      <alignment/>
    </xf>
    <xf numFmtId="4" fontId="6" fillId="7" borderId="4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wrapText="1"/>
    </xf>
    <xf numFmtId="4" fontId="6" fillId="10" borderId="49" xfId="0" applyNumberFormat="1" applyFont="1" applyFill="1" applyBorder="1" applyAlignment="1" quotePrefix="1">
      <alignment horizontal="center"/>
    </xf>
    <xf numFmtId="0" fontId="10" fillId="4" borderId="62" xfId="0" applyFont="1" applyFill="1" applyBorder="1" applyAlignment="1">
      <alignment/>
    </xf>
    <xf numFmtId="4" fontId="6" fillId="5" borderId="12" xfId="0" applyNumberFormat="1" applyFont="1" applyFill="1" applyBorder="1" applyAlignment="1">
      <alignment/>
    </xf>
    <xf numFmtId="4" fontId="6" fillId="22" borderId="63" xfId="0" applyNumberFormat="1" applyFont="1" applyFill="1" applyBorder="1" applyAlignment="1">
      <alignment/>
    </xf>
    <xf numFmtId="4" fontId="6" fillId="7" borderId="35" xfId="0" applyNumberFormat="1" applyFont="1" applyFill="1" applyBorder="1" applyAlignment="1">
      <alignment/>
    </xf>
    <xf numFmtId="4" fontId="6" fillId="0" borderId="64" xfId="0" applyNumberFormat="1" applyFont="1" applyFill="1" applyBorder="1" applyAlignment="1">
      <alignment/>
    </xf>
    <xf numFmtId="4" fontId="6" fillId="22" borderId="48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24" borderId="11" xfId="0" applyNumberFormat="1" applyFont="1" applyFill="1" applyBorder="1" applyAlignment="1">
      <alignment/>
    </xf>
    <xf numFmtId="4" fontId="14" fillId="8" borderId="11" xfId="0" applyNumberFormat="1" applyFont="1" applyFill="1" applyBorder="1" applyAlignment="1">
      <alignment/>
    </xf>
    <xf numFmtId="4" fontId="3" fillId="21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5" fillId="10" borderId="11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166" fontId="8" fillId="7" borderId="41" xfId="0" applyNumberFormat="1" applyFont="1" applyFill="1" applyBorder="1" applyAlignment="1">
      <alignment horizontal="center" wrapText="1"/>
    </xf>
    <xf numFmtId="4" fontId="1" fillId="5" borderId="14" xfId="0" applyNumberFormat="1" applyFont="1" applyFill="1" applyBorder="1" applyAlignment="1">
      <alignment horizontal="right" wrapText="1"/>
    </xf>
    <xf numFmtId="4" fontId="8" fillId="22" borderId="48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/>
    </xf>
    <xf numFmtId="4" fontId="1" fillId="10" borderId="48" xfId="0" applyNumberFormat="1" applyFont="1" applyFill="1" applyBorder="1" applyAlignment="1">
      <alignment/>
    </xf>
    <xf numFmtId="4" fontId="8" fillId="10" borderId="4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4" fillId="0" borderId="33" xfId="0" applyNumberFormat="1" applyFont="1" applyFill="1" applyBorder="1" applyAlignment="1">
      <alignment wrapText="1"/>
    </xf>
    <xf numFmtId="4" fontId="1" fillId="0" borderId="49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" fontId="14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55" xfId="0" applyNumberFormat="1" applyFont="1" applyFill="1" applyBorder="1" applyAlignment="1">
      <alignment wrapText="1"/>
    </xf>
    <xf numFmtId="4" fontId="6" fillId="0" borderId="56" xfId="0" applyNumberFormat="1" applyFont="1" applyFill="1" applyBorder="1" applyAlignment="1">
      <alignment wrapText="1"/>
    </xf>
    <xf numFmtId="1" fontId="14" fillId="0" borderId="13" xfId="0" applyNumberFormat="1" applyFont="1" applyFill="1" applyBorder="1" applyAlignment="1" quotePrefix="1">
      <alignment horizontal="center" vertical="center" wrapText="1"/>
    </xf>
    <xf numFmtId="1" fontId="6" fillId="8" borderId="41" xfId="0" applyNumberFormat="1" applyFont="1" applyFill="1" applyBorder="1" applyAlignment="1">
      <alignment horizontal="center" vertical="center" wrapText="1"/>
    </xf>
    <xf numFmtId="4" fontId="6" fillId="3" borderId="32" xfId="0" applyNumberFormat="1" applyFont="1" applyFill="1" applyBorder="1" applyAlignment="1">
      <alignment horizontal="right" wrapText="1"/>
    </xf>
    <xf numFmtId="4" fontId="6" fillId="3" borderId="31" xfId="0" applyNumberFormat="1" applyFont="1" applyFill="1" applyBorder="1" applyAlignment="1">
      <alignment horizontal="right" wrapText="1"/>
    </xf>
    <xf numFmtId="1" fontId="14" fillId="0" borderId="48" xfId="0" applyNumberFormat="1" applyFont="1" applyFill="1" applyBorder="1" applyAlignment="1" quotePrefix="1">
      <alignment horizontal="center" vertical="center" wrapText="1"/>
    </xf>
    <xf numFmtId="4" fontId="6" fillId="0" borderId="19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wrapText="1"/>
    </xf>
    <xf numFmtId="4" fontId="5" fillId="7" borderId="0" xfId="0" applyNumberFormat="1" applyFont="1" applyFill="1" applyBorder="1" applyAlignment="1">
      <alignment horizontal="center" wrapText="1"/>
    </xf>
    <xf numFmtId="4" fontId="10" fillId="7" borderId="0" xfId="0" applyNumberFormat="1" applyFont="1" applyFill="1" applyBorder="1" applyAlignment="1">
      <alignment horizontal="center" wrapText="1"/>
    </xf>
    <xf numFmtId="4" fontId="6" fillId="10" borderId="0" xfId="0" applyNumberFormat="1" applyFont="1" applyFill="1" applyBorder="1" applyAlignment="1">
      <alignment horizontal="center" wrapText="1"/>
    </xf>
    <xf numFmtId="0" fontId="6" fillId="0" borderId="48" xfId="0" applyFont="1" applyBorder="1" applyAlignment="1">
      <alignment horizontal="right"/>
    </xf>
    <xf numFmtId="4" fontId="6" fillId="0" borderId="48" xfId="0" applyNumberFormat="1" applyFont="1" applyBorder="1" applyAlignment="1">
      <alignment/>
    </xf>
    <xf numFmtId="0" fontId="3" fillId="24" borderId="13" xfId="0" applyFont="1" applyFill="1" applyBorder="1" applyAlignment="1">
      <alignment horizontal="right"/>
    </xf>
    <xf numFmtId="4" fontId="3" fillId="24" borderId="41" xfId="0" applyNumberFormat="1" applyFont="1" applyFill="1" applyBorder="1" applyAlignment="1">
      <alignment horizontal="left"/>
    </xf>
    <xf numFmtId="4" fontId="6" fillId="10" borderId="49" xfId="0" applyNumberFormat="1" applyFont="1" applyFill="1" applyBorder="1" applyAlignment="1">
      <alignment horizontal="center"/>
    </xf>
    <xf numFmtId="0" fontId="3" fillId="4" borderId="62" xfId="0" applyFont="1" applyFill="1" applyBorder="1" applyAlignment="1">
      <alignment horizontal="left"/>
    </xf>
    <xf numFmtId="4" fontId="14" fillId="5" borderId="33" xfId="0" applyNumberFormat="1" applyFont="1" applyFill="1" applyBorder="1" applyAlignment="1">
      <alignment wrapText="1"/>
    </xf>
    <xf numFmtId="4" fontId="14" fillId="22" borderId="33" xfId="0" applyNumberFormat="1" applyFont="1" applyFill="1" applyBorder="1" applyAlignment="1">
      <alignment wrapText="1"/>
    </xf>
    <xf numFmtId="4" fontId="46" fillId="5" borderId="11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wrapText="1"/>
    </xf>
    <xf numFmtId="4" fontId="6" fillId="22" borderId="19" xfId="0" applyNumberFormat="1" applyFont="1" applyFill="1" applyBorder="1" applyAlignment="1">
      <alignment wrapText="1"/>
    </xf>
    <xf numFmtId="4" fontId="6" fillId="22" borderId="18" xfId="0" applyNumberFormat="1" applyFont="1" applyFill="1" applyBorder="1" applyAlignment="1">
      <alignment wrapText="1"/>
    </xf>
    <xf numFmtId="4" fontId="6" fillId="22" borderId="60" xfId="0" applyNumberFormat="1" applyFont="1" applyFill="1" applyBorder="1" applyAlignment="1">
      <alignment wrapText="1"/>
    </xf>
    <xf numFmtId="4" fontId="18" fillId="0" borderId="48" xfId="0" applyNumberFormat="1" applyFont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wrapText="1"/>
    </xf>
    <xf numFmtId="4" fontId="6" fillId="5" borderId="18" xfId="0" applyNumberFormat="1" applyFont="1" applyFill="1" applyBorder="1" applyAlignment="1">
      <alignment wrapText="1"/>
    </xf>
    <xf numFmtId="4" fontId="6" fillId="5" borderId="20" xfId="0" applyNumberFormat="1" applyFont="1" applyFill="1" applyBorder="1" applyAlignment="1">
      <alignment wrapText="1"/>
    </xf>
    <xf numFmtId="1" fontId="14" fillId="0" borderId="41" xfId="0" applyNumberFormat="1" applyFont="1" applyFill="1" applyBorder="1" applyAlignment="1" quotePrefix="1">
      <alignment horizontal="center" vertical="center" wrapText="1"/>
    </xf>
    <xf numFmtId="4" fontId="6" fillId="5" borderId="33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center" wrapText="1"/>
    </xf>
    <xf numFmtId="4" fontId="8" fillId="3" borderId="15" xfId="0" applyNumberFormat="1" applyFont="1" applyFill="1" applyBorder="1" applyAlignment="1">
      <alignment horizontal="right" wrapText="1"/>
    </xf>
    <xf numFmtId="4" fontId="8" fillId="3" borderId="43" xfId="0" applyNumberFormat="1" applyFont="1" applyFill="1" applyBorder="1" applyAlignment="1">
      <alignment horizontal="right" wrapText="1"/>
    </xf>
    <xf numFmtId="4" fontId="8" fillId="3" borderId="44" xfId="0" applyNumberFormat="1" applyFont="1" applyFill="1" applyBorder="1" applyAlignment="1">
      <alignment horizontal="right" wrapText="1"/>
    </xf>
    <xf numFmtId="4" fontId="6" fillId="22" borderId="11" xfId="0" applyNumberFormat="1" applyFont="1" applyFill="1" applyBorder="1" applyAlignment="1">
      <alignment/>
    </xf>
    <xf numFmtId="4" fontId="6" fillId="10" borderId="41" xfId="0" applyNumberFormat="1" applyFont="1" applyFill="1" applyBorder="1" applyAlignment="1">
      <alignment horizontal="center" wrapText="1"/>
    </xf>
    <xf numFmtId="4" fontId="6" fillId="10" borderId="56" xfId="0" applyNumberFormat="1" applyFont="1" applyFill="1" applyBorder="1" applyAlignment="1">
      <alignment wrapText="1"/>
    </xf>
    <xf numFmtId="4" fontId="14" fillId="7" borderId="41" xfId="0" applyNumberFormat="1" applyFont="1" applyFill="1" applyBorder="1" applyAlignment="1">
      <alignment wrapText="1"/>
    </xf>
    <xf numFmtId="4" fontId="6" fillId="10" borderId="33" xfId="0" applyNumberFormat="1" applyFont="1" applyFill="1" applyBorder="1" applyAlignment="1">
      <alignment wrapText="1"/>
    </xf>
    <xf numFmtId="4" fontId="6" fillId="22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quotePrefix="1">
      <alignment horizontal="center" vertical="center" wrapText="1"/>
    </xf>
    <xf numFmtId="4" fontId="6" fillId="24" borderId="33" xfId="0" applyNumberFormat="1" applyFont="1" applyFill="1" applyBorder="1" applyAlignment="1">
      <alignment wrapText="1"/>
    </xf>
    <xf numFmtId="4" fontId="6" fillId="8" borderId="11" xfId="0" applyNumberFormat="1" applyFont="1" applyFill="1" applyBorder="1" applyAlignment="1">
      <alignment/>
    </xf>
    <xf numFmtId="4" fontId="6" fillId="21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55" xfId="0" applyNumberFormat="1" applyFont="1" applyFill="1" applyBorder="1" applyAlignment="1">
      <alignment wrapText="1"/>
    </xf>
    <xf numFmtId="4" fontId="1" fillId="0" borderId="56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4" fontId="1" fillId="0" borderId="60" xfId="0" applyNumberFormat="1" applyFont="1" applyFill="1" applyBorder="1" applyAlignment="1">
      <alignment wrapText="1"/>
    </xf>
    <xf numFmtId="4" fontId="8" fillId="3" borderId="19" xfId="0" applyNumberFormat="1" applyFont="1" applyFill="1" applyBorder="1" applyAlignment="1">
      <alignment horizontal="right" wrapText="1"/>
    </xf>
    <xf numFmtId="4" fontId="8" fillId="3" borderId="20" xfId="0" applyNumberFormat="1" applyFont="1" applyFill="1" applyBorder="1" applyAlignment="1">
      <alignment horizontal="right" wrapText="1"/>
    </xf>
    <xf numFmtId="4" fontId="8" fillId="3" borderId="18" xfId="0" applyNumberFormat="1" applyFont="1" applyFill="1" applyBorder="1" applyAlignment="1">
      <alignment horizontal="right" wrapText="1"/>
    </xf>
    <xf numFmtId="4" fontId="8" fillId="24" borderId="11" xfId="0" applyNumberFormat="1" applyFont="1" applyFill="1" applyBorder="1" applyAlignment="1">
      <alignment/>
    </xf>
    <xf numFmtId="4" fontId="6" fillId="7" borderId="0" xfId="0" applyNumberFormat="1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horizontal="center" wrapText="1"/>
    </xf>
    <xf numFmtId="166" fontId="6" fillId="7" borderId="41" xfId="0" applyNumberFormat="1" applyFont="1" applyFill="1" applyBorder="1" applyAlignment="1">
      <alignment horizontal="center" wrapText="1"/>
    </xf>
    <xf numFmtId="4" fontId="14" fillId="7" borderId="11" xfId="0" applyNumberFormat="1" applyFont="1" applyFill="1" applyBorder="1" applyAlignment="1">
      <alignment horizont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4" fontId="1" fillId="4" borderId="33" xfId="0" applyNumberFormat="1" applyFont="1" applyFill="1" applyBorder="1" applyAlignment="1">
      <alignment wrapText="1"/>
    </xf>
    <xf numFmtId="4" fontId="6" fillId="4" borderId="11" xfId="0" applyNumberFormat="1" applyFont="1" applyFill="1" applyBorder="1" applyAlignment="1">
      <alignment/>
    </xf>
    <xf numFmtId="4" fontId="6" fillId="0" borderId="65" xfId="0" applyNumberFormat="1" applyFont="1" applyFill="1" applyBorder="1" applyAlignment="1">
      <alignment wrapText="1"/>
    </xf>
    <xf numFmtId="4" fontId="8" fillId="3" borderId="56" xfId="0" applyNumberFormat="1" applyFont="1" applyFill="1" applyBorder="1" applyAlignment="1">
      <alignment horizontal="right" wrapText="1"/>
    </xf>
    <xf numFmtId="4" fontId="8" fillId="3" borderId="55" xfId="0" applyNumberFormat="1" applyFont="1" applyFill="1" applyBorder="1" applyAlignment="1">
      <alignment horizontal="right" wrapText="1"/>
    </xf>
    <xf numFmtId="4" fontId="8" fillId="3" borderId="52" xfId="0" applyNumberFormat="1" applyFont="1" applyFill="1" applyBorder="1" applyAlignment="1">
      <alignment horizontal="right" wrapText="1"/>
    </xf>
    <xf numFmtId="1" fontId="6" fillId="4" borderId="11" xfId="0" applyNumberFormat="1" applyFont="1" applyFill="1" applyBorder="1" applyAlignment="1">
      <alignment horizontal="center" vertical="center" wrapText="1"/>
    </xf>
    <xf numFmtId="4" fontId="1" fillId="4" borderId="19" xfId="0" applyNumberFormat="1" applyFont="1" applyFill="1" applyBorder="1" applyAlignment="1">
      <alignment wrapText="1"/>
    </xf>
    <xf numFmtId="4" fontId="1" fillId="4" borderId="18" xfId="0" applyNumberFormat="1" applyFont="1" applyFill="1" applyBorder="1" applyAlignment="1">
      <alignment wrapText="1"/>
    </xf>
    <xf numFmtId="166" fontId="6" fillId="7" borderId="41" xfId="0" applyNumberFormat="1" applyFont="1" applyFill="1" applyBorder="1" applyAlignment="1">
      <alignment/>
    </xf>
    <xf numFmtId="4" fontId="14" fillId="7" borderId="44" xfId="0" applyNumberFormat="1" applyFont="1" applyFill="1" applyBorder="1" applyAlignment="1">
      <alignment horizontal="right" wrapText="1"/>
    </xf>
    <xf numFmtId="4" fontId="6" fillId="4" borderId="18" xfId="0" applyNumberFormat="1" applyFont="1" applyFill="1" applyBorder="1" applyAlignment="1">
      <alignment wrapText="1"/>
    </xf>
    <xf numFmtId="1" fontId="6" fillId="7" borderId="11" xfId="0" applyNumberFormat="1" applyFont="1" applyFill="1" applyBorder="1" applyAlignment="1">
      <alignment horizontal="center" vertical="center" wrapText="1"/>
    </xf>
    <xf numFmtId="4" fontId="1" fillId="22" borderId="33" xfId="0" applyNumberFormat="1" applyFont="1" applyFill="1" applyBorder="1" applyAlignment="1">
      <alignment wrapText="1"/>
    </xf>
    <xf numFmtId="4" fontId="1" fillId="4" borderId="43" xfId="0" applyNumberFormat="1" applyFont="1" applyFill="1" applyBorder="1" applyAlignment="1">
      <alignment wrapText="1"/>
    </xf>
    <xf numFmtId="4" fontId="1" fillId="4" borderId="15" xfId="0" applyNumberFormat="1" applyFont="1" applyFill="1" applyBorder="1" applyAlignment="1">
      <alignment wrapText="1"/>
    </xf>
    <xf numFmtId="4" fontId="6" fillId="4" borderId="15" xfId="0" applyNumberFormat="1" applyFont="1" applyFill="1" applyBorder="1" applyAlignment="1">
      <alignment wrapText="1"/>
    </xf>
    <xf numFmtId="4" fontId="1" fillId="0" borderId="54" xfId="0" applyNumberFormat="1" applyFont="1" applyFill="1" applyBorder="1" applyAlignment="1">
      <alignment wrapText="1"/>
    </xf>
    <xf numFmtId="4" fontId="1" fillId="22" borderId="54" xfId="0" applyNumberFormat="1" applyFont="1" applyFill="1" applyBorder="1" applyAlignment="1">
      <alignment wrapText="1"/>
    </xf>
    <xf numFmtId="4" fontId="6" fillId="22" borderId="54" xfId="0" applyNumberFormat="1" applyFont="1" applyFill="1" applyBorder="1" applyAlignment="1">
      <alignment wrapText="1"/>
    </xf>
    <xf numFmtId="4" fontId="1" fillId="22" borderId="66" xfId="0" applyNumberFormat="1" applyFont="1" applyFill="1" applyBorder="1" applyAlignment="1">
      <alignment wrapText="1"/>
    </xf>
    <xf numFmtId="4" fontId="1" fillId="0" borderId="66" xfId="0" applyNumberFormat="1" applyFont="1" applyFill="1" applyBorder="1" applyAlignment="1">
      <alignment wrapText="1"/>
    </xf>
    <xf numFmtId="4" fontId="6" fillId="10" borderId="54" xfId="0" applyNumberFormat="1" applyFont="1" applyFill="1" applyBorder="1" applyAlignment="1">
      <alignment wrapText="1"/>
    </xf>
    <xf numFmtId="4" fontId="6" fillId="10" borderId="11" xfId="0" applyNumberFormat="1" applyFont="1" applyFill="1" applyBorder="1" applyAlignment="1">
      <alignment horizontal="left" wrapText="1"/>
    </xf>
    <xf numFmtId="4" fontId="18" fillId="10" borderId="11" xfId="0" applyNumberFormat="1" applyFont="1" applyFill="1" applyBorder="1" applyAlignment="1">
      <alignment horizontal="center" wrapText="1"/>
    </xf>
    <xf numFmtId="4" fontId="6" fillId="10" borderId="41" xfId="0" applyNumberFormat="1" applyFont="1" applyFill="1" applyBorder="1" applyAlignment="1">
      <alignment wrapText="1"/>
    </xf>
    <xf numFmtId="0" fontId="6" fillId="7" borderId="13" xfId="0" applyFont="1" applyFill="1" applyBorder="1" applyAlignment="1">
      <alignment/>
    </xf>
    <xf numFmtId="0" fontId="6" fillId="7" borderId="41" xfId="0" applyFont="1" applyFill="1" applyBorder="1" applyAlignment="1">
      <alignment/>
    </xf>
    <xf numFmtId="4" fontId="8" fillId="3" borderId="11" xfId="0" applyNumberFormat="1" applyFont="1" applyFill="1" applyBorder="1" applyAlignment="1">
      <alignment horizontal="right" wrapText="1"/>
    </xf>
    <xf numFmtId="4" fontId="1" fillId="22" borderId="19" xfId="0" applyNumberFormat="1" applyFont="1" applyFill="1" applyBorder="1" applyAlignment="1">
      <alignment wrapText="1"/>
    </xf>
    <xf numFmtId="4" fontId="18" fillId="0" borderId="41" xfId="0" applyNumberFormat="1" applyFont="1" applyBorder="1" applyAlignment="1">
      <alignment horizontal="center" vertical="center" wrapText="1"/>
    </xf>
    <xf numFmtId="4" fontId="8" fillId="22" borderId="21" xfId="0" applyNumberFormat="1" applyFont="1" applyFill="1" applyBorder="1" applyAlignment="1">
      <alignment horizontal="center" vertical="center" wrapText="1"/>
    </xf>
    <xf numFmtId="4" fontId="6" fillId="27" borderId="56" xfId="0" applyNumberFormat="1" applyFont="1" applyFill="1" applyBorder="1" applyAlignment="1">
      <alignment wrapText="1"/>
    </xf>
    <xf numFmtId="4" fontId="8" fillId="7" borderId="52" xfId="0" applyNumberFormat="1" applyFont="1" applyFill="1" applyBorder="1" applyAlignment="1">
      <alignment horizontal="right" wrapText="1"/>
    </xf>
    <xf numFmtId="0" fontId="3" fillId="27" borderId="13" xfId="0" applyFont="1" applyFill="1" applyBorder="1" applyAlignment="1">
      <alignment horizontal="right"/>
    </xf>
    <xf numFmtId="4" fontId="3" fillId="27" borderId="41" xfId="0" applyNumberFormat="1" applyFont="1" applyFill="1" applyBorder="1" applyAlignment="1">
      <alignment horizontal="left"/>
    </xf>
    <xf numFmtId="3" fontId="3" fillId="7" borderId="41" xfId="0" applyNumberFormat="1" applyFont="1" applyFill="1" applyBorder="1" applyAlignment="1">
      <alignment/>
    </xf>
    <xf numFmtId="4" fontId="6" fillId="8" borderId="19" xfId="0" applyNumberFormat="1" applyFont="1" applyFill="1" applyBorder="1" applyAlignment="1">
      <alignment wrapText="1"/>
    </xf>
    <xf numFmtId="4" fontId="6" fillId="8" borderId="18" xfId="0" applyNumberFormat="1" applyFont="1" applyFill="1" applyBorder="1" applyAlignment="1">
      <alignment wrapText="1"/>
    </xf>
    <xf numFmtId="4" fontId="1" fillId="22" borderId="60" xfId="0" applyNumberFormat="1" applyFont="1" applyFill="1" applyBorder="1" applyAlignment="1">
      <alignment wrapText="1"/>
    </xf>
    <xf numFmtId="4" fontId="6" fillId="10" borderId="18" xfId="0" applyNumberFormat="1" applyFont="1" applyFill="1" applyBorder="1" applyAlignment="1">
      <alignment wrapText="1"/>
    </xf>
    <xf numFmtId="4" fontId="8" fillId="7" borderId="20" xfId="0" applyNumberFormat="1" applyFont="1" applyFill="1" applyBorder="1" applyAlignment="1">
      <alignment horizontal="right" wrapText="1"/>
    </xf>
    <xf numFmtId="0" fontId="6" fillId="24" borderId="13" xfId="0" applyFont="1" applyFill="1" applyBorder="1" applyAlignment="1">
      <alignment/>
    </xf>
    <xf numFmtId="0" fontId="6" fillId="24" borderId="48" xfId="0" applyFont="1" applyFill="1" applyBorder="1" applyAlignment="1">
      <alignment horizontal="right"/>
    </xf>
    <xf numFmtId="4" fontId="7" fillId="24" borderId="41" xfId="0" applyNumberFormat="1" applyFont="1" applyFill="1" applyBorder="1" applyAlignment="1">
      <alignment/>
    </xf>
    <xf numFmtId="4" fontId="10" fillId="3" borderId="13" xfId="0" applyNumberFormat="1" applyFont="1" applyFill="1" applyBorder="1" applyAlignment="1">
      <alignment horizontal="center" wrapText="1"/>
    </xf>
    <xf numFmtId="4" fontId="1" fillId="0" borderId="38" xfId="0" applyNumberFormat="1" applyFont="1" applyFill="1" applyBorder="1" applyAlignment="1">
      <alignment wrapText="1"/>
    </xf>
    <xf numFmtId="4" fontId="1" fillId="0" borderId="37" xfId="0" applyNumberFormat="1" applyFont="1" applyFill="1" applyBorder="1" applyAlignment="1">
      <alignment wrapText="1"/>
    </xf>
    <xf numFmtId="4" fontId="6" fillId="0" borderId="37" xfId="0" applyNumberFormat="1" applyFont="1" applyFill="1" applyBorder="1" applyAlignment="1">
      <alignment wrapText="1"/>
    </xf>
    <xf numFmtId="4" fontId="1" fillId="22" borderId="55" xfId="0" applyNumberFormat="1" applyFont="1" applyFill="1" applyBorder="1" applyAlignment="1">
      <alignment wrapText="1"/>
    </xf>
    <xf numFmtId="4" fontId="1" fillId="22" borderId="56" xfId="0" applyNumberFormat="1" applyFont="1" applyFill="1" applyBorder="1" applyAlignment="1">
      <alignment wrapText="1"/>
    </xf>
    <xf numFmtId="4" fontId="6" fillId="22" borderId="56" xfId="0" applyNumberFormat="1" applyFont="1" applyFill="1" applyBorder="1" applyAlignment="1">
      <alignment wrapText="1"/>
    </xf>
    <xf numFmtId="4" fontId="1" fillId="22" borderId="65" xfId="0" applyNumberFormat="1" applyFont="1" applyFill="1" applyBorder="1" applyAlignment="1">
      <alignment wrapText="1"/>
    </xf>
    <xf numFmtId="4" fontId="18" fillId="28" borderId="13" xfId="0" applyNumberFormat="1" applyFont="1" applyFill="1" applyBorder="1" applyAlignment="1">
      <alignment horizontal="center" wrapText="1"/>
    </xf>
    <xf numFmtId="4" fontId="5" fillId="28" borderId="48" xfId="0" applyNumberFormat="1" applyFont="1" applyFill="1" applyBorder="1" applyAlignment="1">
      <alignment horizontal="center" wrapText="1"/>
    </xf>
    <xf numFmtId="4" fontId="5" fillId="28" borderId="41" xfId="0" applyNumberFormat="1" applyFont="1" applyFill="1" applyBorder="1" applyAlignment="1">
      <alignment horizontal="center" wrapText="1"/>
    </xf>
    <xf numFmtId="4" fontId="6" fillId="10" borderId="13" xfId="0" applyNumberFormat="1" applyFont="1" applyFill="1" applyBorder="1" applyAlignment="1">
      <alignment horizontal="left" wrapText="1"/>
    </xf>
    <xf numFmtId="4" fontId="6" fillId="28" borderId="13" xfId="0" applyNumberFormat="1" applyFont="1" applyFill="1" applyBorder="1" applyAlignment="1">
      <alignment horizontal="left" wrapText="1"/>
    </xf>
    <xf numFmtId="4" fontId="6" fillId="28" borderId="48" xfId="0" applyNumberFormat="1" applyFont="1" applyFill="1" applyBorder="1" applyAlignment="1">
      <alignment horizontal="left" wrapText="1"/>
    </xf>
    <xf numFmtId="4" fontId="6" fillId="28" borderId="41" xfId="0" applyNumberFormat="1" applyFont="1" applyFill="1" applyBorder="1" applyAlignment="1">
      <alignment horizontal="left" wrapText="1"/>
    </xf>
    <xf numFmtId="4" fontId="6" fillId="20" borderId="13" xfId="0" applyNumberFormat="1" applyFont="1" applyFill="1" applyBorder="1" applyAlignment="1">
      <alignment/>
    </xf>
    <xf numFmtId="4" fontId="6" fillId="20" borderId="41" xfId="0" applyNumberFormat="1" applyFont="1" applyFill="1" applyBorder="1" applyAlignment="1">
      <alignment/>
    </xf>
    <xf numFmtId="4" fontId="18" fillId="0" borderId="13" xfId="0" applyNumberFormat="1" applyFont="1" applyBorder="1" applyAlignment="1">
      <alignment horizontal="center" vertical="center" wrapText="1"/>
    </xf>
    <xf numFmtId="4" fontId="6" fillId="10" borderId="37" xfId="0" applyNumberFormat="1" applyFont="1" applyFill="1" applyBorder="1" applyAlignment="1">
      <alignment wrapText="1"/>
    </xf>
    <xf numFmtId="4" fontId="8" fillId="7" borderId="44" xfId="0" applyNumberFormat="1" applyFont="1" applyFill="1" applyBorder="1" applyAlignment="1">
      <alignment horizontal="right" wrapText="1"/>
    </xf>
    <xf numFmtId="1" fontId="14" fillId="24" borderId="41" xfId="0" applyNumberFormat="1" applyFont="1" applyFill="1" applyBorder="1" applyAlignment="1">
      <alignment horizontal="center" vertical="center" wrapText="1"/>
    </xf>
    <xf numFmtId="4" fontId="6" fillId="24" borderId="31" xfId="0" applyNumberFormat="1" applyFont="1" applyFill="1" applyBorder="1" applyAlignment="1">
      <alignment wrapText="1"/>
    </xf>
    <xf numFmtId="4" fontId="6" fillId="24" borderId="32" xfId="0" applyNumberFormat="1" applyFont="1" applyFill="1" applyBorder="1" applyAlignment="1">
      <alignment wrapText="1"/>
    </xf>
    <xf numFmtId="0" fontId="14" fillId="7" borderId="13" xfId="0" applyFont="1" applyFill="1" applyBorder="1" applyAlignment="1">
      <alignment horizontal="right"/>
    </xf>
    <xf numFmtId="4" fontId="3" fillId="7" borderId="41" xfId="0" applyNumberFormat="1" applyFont="1" applyFill="1" applyBorder="1" applyAlignment="1">
      <alignment horizontal="left"/>
    </xf>
    <xf numFmtId="4" fontId="6" fillId="7" borderId="41" xfId="0" applyNumberFormat="1" applyFont="1" applyFill="1" applyBorder="1" applyAlignment="1">
      <alignment horizontal="left"/>
    </xf>
    <xf numFmtId="14" fontId="14" fillId="0" borderId="0" xfId="0" applyNumberFormat="1" applyFont="1" applyAlignment="1">
      <alignment/>
    </xf>
    <xf numFmtId="4" fontId="6" fillId="0" borderId="29" xfId="0" applyNumberFormat="1" applyFont="1" applyFill="1" applyBorder="1" applyAlignment="1">
      <alignment/>
    </xf>
    <xf numFmtId="0" fontId="6" fillId="24" borderId="48" xfId="0" applyFont="1" applyFill="1" applyBorder="1" applyAlignment="1">
      <alignment/>
    </xf>
    <xf numFmtId="4" fontId="6" fillId="28" borderId="0" xfId="0" applyNumberFormat="1" applyFont="1" applyFill="1" applyBorder="1" applyAlignment="1">
      <alignment horizontal="left" wrapText="1"/>
    </xf>
    <xf numFmtId="1" fontId="5" fillId="25" borderId="11" xfId="0" applyNumberFormat="1" applyFont="1" applyFill="1" applyBorder="1" applyAlignment="1">
      <alignment horizontal="center" vertical="center" wrapText="1"/>
    </xf>
    <xf numFmtId="4" fontId="4" fillId="25" borderId="33" xfId="0" applyNumberFormat="1" applyFont="1" applyFill="1" applyBorder="1" applyAlignment="1">
      <alignment wrapText="1"/>
    </xf>
    <xf numFmtId="4" fontId="6" fillId="24" borderId="41" xfId="0" applyNumberFormat="1" applyFont="1" applyFill="1" applyBorder="1" applyAlignment="1">
      <alignment/>
    </xf>
    <xf numFmtId="4" fontId="5" fillId="28" borderId="0" xfId="0" applyNumberFormat="1" applyFont="1" applyFill="1" applyBorder="1" applyAlignment="1">
      <alignment horizontal="center" wrapText="1"/>
    </xf>
    <xf numFmtId="1" fontId="6" fillId="20" borderId="11" xfId="0" applyNumberFormat="1" applyFont="1" applyFill="1" applyBorder="1" applyAlignment="1">
      <alignment horizontal="center" vertical="center" wrapText="1"/>
    </xf>
    <xf numFmtId="4" fontId="6" fillId="20" borderId="33" xfId="0" applyNumberFormat="1" applyFont="1" applyFill="1" applyBorder="1" applyAlignment="1">
      <alignment wrapText="1"/>
    </xf>
    <xf numFmtId="4" fontId="6" fillId="25" borderId="11" xfId="0" applyNumberFormat="1" applyFont="1" applyFill="1" applyBorder="1" applyAlignment="1">
      <alignment/>
    </xf>
    <xf numFmtId="4" fontId="6" fillId="20" borderId="11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 wrapText="1"/>
    </xf>
    <xf numFmtId="4" fontId="1" fillId="20" borderId="19" xfId="0" applyNumberFormat="1" applyFont="1" applyFill="1" applyBorder="1" applyAlignment="1">
      <alignment wrapText="1"/>
    </xf>
    <xf numFmtId="4" fontId="1" fillId="20" borderId="18" xfId="0" applyNumberFormat="1" applyFont="1" applyFill="1" applyBorder="1" applyAlignment="1">
      <alignment wrapText="1"/>
    </xf>
    <xf numFmtId="1" fontId="14" fillId="24" borderId="48" xfId="0" applyNumberFormat="1" applyFont="1" applyFill="1" applyBorder="1" applyAlignment="1">
      <alignment horizontal="center" vertical="center" wrapText="1"/>
    </xf>
    <xf numFmtId="4" fontId="6" fillId="24" borderId="55" xfId="0" applyNumberFormat="1" applyFont="1" applyFill="1" applyBorder="1" applyAlignment="1">
      <alignment wrapText="1"/>
    </xf>
    <xf numFmtId="4" fontId="6" fillId="24" borderId="56" xfId="0" applyNumberFormat="1" applyFont="1" applyFill="1" applyBorder="1" applyAlignment="1">
      <alignment wrapText="1"/>
    </xf>
    <xf numFmtId="4" fontId="6" fillId="5" borderId="60" xfId="0" applyNumberFormat="1" applyFont="1" applyFill="1" applyBorder="1" applyAlignment="1">
      <alignment wrapText="1"/>
    </xf>
    <xf numFmtId="1" fontId="6" fillId="0" borderId="48" xfId="0" applyNumberFormat="1" applyFont="1" applyFill="1" applyBorder="1" applyAlignment="1" quotePrefix="1">
      <alignment horizontal="center" vertical="center" wrapText="1"/>
    </xf>
    <xf numFmtId="4" fontId="1" fillId="0" borderId="52" xfId="0" applyNumberFormat="1" applyFont="1" applyFill="1" applyBorder="1" applyAlignment="1">
      <alignment wrapText="1"/>
    </xf>
    <xf numFmtId="4" fontId="4" fillId="25" borderId="19" xfId="0" applyNumberFormat="1" applyFont="1" applyFill="1" applyBorder="1" applyAlignment="1">
      <alignment wrapText="1"/>
    </xf>
    <xf numFmtId="4" fontId="4" fillId="25" borderId="18" xfId="0" applyNumberFormat="1" applyFont="1" applyFill="1" applyBorder="1" applyAlignment="1">
      <alignment wrapText="1"/>
    </xf>
    <xf numFmtId="4" fontId="10" fillId="3" borderId="18" xfId="0" applyNumberFormat="1" applyFont="1" applyFill="1" applyBorder="1" applyAlignment="1">
      <alignment horizontal="right" wrapText="1"/>
    </xf>
    <xf numFmtId="4" fontId="4" fillId="25" borderId="60" xfId="0" applyNumberFormat="1" applyFont="1" applyFill="1" applyBorder="1" applyAlignment="1">
      <alignment wrapText="1"/>
    </xf>
    <xf numFmtId="4" fontId="10" fillId="3" borderId="19" xfId="0" applyNumberFormat="1" applyFont="1" applyFill="1" applyBorder="1" applyAlignment="1">
      <alignment horizontal="right" wrapText="1"/>
    </xf>
    <xf numFmtId="4" fontId="10" fillId="3" borderId="20" xfId="0" applyNumberFormat="1" applyFont="1" applyFill="1" applyBorder="1" applyAlignment="1">
      <alignment horizontal="right" wrapText="1"/>
    </xf>
    <xf numFmtId="0" fontId="36" fillId="20" borderId="14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/>
    </xf>
    <xf numFmtId="4" fontId="6" fillId="20" borderId="0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 wrapText="1"/>
    </xf>
    <xf numFmtId="4" fontId="18" fillId="0" borderId="51" xfId="0" applyNumberFormat="1" applyFont="1" applyBorder="1" applyAlignment="1">
      <alignment horizontal="center" vertical="center" wrapText="1"/>
    </xf>
    <xf numFmtId="4" fontId="1" fillId="22" borderId="20" xfId="0" applyNumberFormat="1" applyFont="1" applyFill="1" applyBorder="1" applyAlignment="1">
      <alignment wrapText="1"/>
    </xf>
    <xf numFmtId="4" fontId="6" fillId="10" borderId="32" xfId="0" applyNumberFormat="1" applyFont="1" applyFill="1" applyBorder="1" applyAlignment="1">
      <alignment wrapText="1"/>
    </xf>
    <xf numFmtId="4" fontId="6" fillId="10" borderId="67" xfId="0" applyNumberFormat="1" applyFont="1" applyFill="1" applyBorder="1" applyAlignment="1">
      <alignment wrapText="1"/>
    </xf>
    <xf numFmtId="4" fontId="1" fillId="0" borderId="57" xfId="0" applyNumberFormat="1" applyFont="1" applyFill="1" applyBorder="1" applyAlignment="1">
      <alignment wrapText="1"/>
    </xf>
    <xf numFmtId="4" fontId="5" fillId="0" borderId="48" xfId="0" applyNumberFormat="1" applyFont="1" applyFill="1" applyBorder="1" applyAlignment="1">
      <alignment horizontal="center" wrapText="1"/>
    </xf>
    <xf numFmtId="4" fontId="5" fillId="0" borderId="41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left" wrapText="1"/>
    </xf>
    <xf numFmtId="4" fontId="6" fillId="0" borderId="48" xfId="0" applyNumberFormat="1" applyFont="1" applyFill="1" applyBorder="1" applyAlignment="1">
      <alignment horizontal="left" wrapText="1"/>
    </xf>
    <xf numFmtId="4" fontId="6" fillId="0" borderId="41" xfId="0" applyNumberFormat="1" applyFont="1" applyFill="1" applyBorder="1" applyAlignment="1">
      <alignment horizontal="left" wrapText="1"/>
    </xf>
    <xf numFmtId="4" fontId="7" fillId="10" borderId="41" xfId="0" applyNumberFormat="1" applyFont="1" applyFill="1" applyBorder="1" applyAlignment="1">
      <alignment horizontal="center" wrapText="1"/>
    </xf>
    <xf numFmtId="3" fontId="3" fillId="0" borderId="2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6" fillId="0" borderId="6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7" borderId="41" xfId="0" applyFont="1" applyFill="1" applyBorder="1" applyAlignment="1">
      <alignment horizontal="left"/>
    </xf>
    <xf numFmtId="1" fontId="47" fillId="0" borderId="13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wrapText="1"/>
    </xf>
    <xf numFmtId="1" fontId="14" fillId="0" borderId="11" xfId="0" applyNumberFormat="1" applyFont="1" applyFill="1" applyBorder="1" applyAlignment="1">
      <alignment horizontal="center" vertical="center" wrapText="1"/>
    </xf>
    <xf numFmtId="4" fontId="6" fillId="0" borderId="60" xfId="0" applyNumberFormat="1" applyFont="1" applyFill="1" applyBorder="1" applyAlignment="1">
      <alignment wrapText="1"/>
    </xf>
    <xf numFmtId="1" fontId="6" fillId="0" borderId="4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4" fontId="10" fillId="3" borderId="15" xfId="0" applyNumberFormat="1" applyFont="1" applyFill="1" applyBorder="1" applyAlignment="1">
      <alignment horizontal="right" wrapText="1"/>
    </xf>
    <xf numFmtId="4" fontId="10" fillId="3" borderId="32" xfId="0" applyNumberFormat="1" applyFont="1" applyFill="1" applyBorder="1" applyAlignment="1">
      <alignment horizontal="right" wrapText="1"/>
    </xf>
    <xf numFmtId="4" fontId="1" fillId="0" borderId="61" xfId="0" applyNumberFormat="1" applyFont="1" applyFill="1" applyBorder="1" applyAlignment="1">
      <alignment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 quotePrefix="1">
      <alignment horizontal="center" vertical="center" wrapText="1"/>
    </xf>
    <xf numFmtId="3" fontId="3" fillId="0" borderId="0" xfId="0" applyNumberFormat="1" applyFont="1" applyFill="1" applyAlignment="1">
      <alignment/>
    </xf>
    <xf numFmtId="3" fontId="10" fillId="3" borderId="15" xfId="0" applyNumberFormat="1" applyFont="1" applyFill="1" applyBorder="1" applyAlignment="1">
      <alignment horizontal="right" wrapText="1"/>
    </xf>
    <xf numFmtId="3" fontId="8" fillId="3" borderId="43" xfId="0" applyNumberFormat="1" applyFont="1" applyFill="1" applyBorder="1" applyAlignment="1">
      <alignment horizontal="right" wrapText="1"/>
    </xf>
    <xf numFmtId="3" fontId="8" fillId="3" borderId="44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8" fillId="22" borderId="35" xfId="0" applyNumberFormat="1" applyFont="1" applyFill="1" applyBorder="1" applyAlignment="1">
      <alignment horizontal="center" vertical="center" wrapText="1"/>
    </xf>
    <xf numFmtId="3" fontId="1" fillId="22" borderId="36" xfId="0" applyNumberFormat="1" applyFont="1" applyFill="1" applyBorder="1" applyAlignment="1">
      <alignment wrapText="1"/>
    </xf>
    <xf numFmtId="3" fontId="1" fillId="22" borderId="37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166" fontId="6" fillId="7" borderId="41" xfId="0" applyNumberFormat="1" applyFont="1" applyFill="1" applyBorder="1" applyAlignment="1">
      <alignment wrapText="1"/>
    </xf>
    <xf numFmtId="1" fontId="14" fillId="5" borderId="11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1" fontId="47" fillId="0" borderId="21" xfId="0" applyNumberFormat="1" applyFont="1" applyFill="1" applyBorder="1" applyAlignment="1">
      <alignment horizontal="center" vertical="center" wrapText="1"/>
    </xf>
    <xf numFmtId="1" fontId="6" fillId="20" borderId="13" xfId="0" applyNumberFormat="1" applyFont="1" applyFill="1" applyBorder="1" applyAlignment="1">
      <alignment horizontal="center" vertical="center" wrapText="1"/>
    </xf>
    <xf numFmtId="4" fontId="1" fillId="20" borderId="43" xfId="0" applyNumberFormat="1" applyFont="1" applyFill="1" applyBorder="1" applyAlignment="1">
      <alignment wrapText="1"/>
    </xf>
    <xf numFmtId="4" fontId="1" fillId="20" borderId="15" xfId="0" applyNumberFormat="1" applyFont="1" applyFill="1" applyBorder="1" applyAlignment="1">
      <alignment wrapText="1"/>
    </xf>
    <xf numFmtId="166" fontId="6" fillId="0" borderId="41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 wrapText="1"/>
    </xf>
    <xf numFmtId="4" fontId="10" fillId="3" borderId="65" xfId="0" applyNumberFormat="1" applyFont="1" applyFill="1" applyBorder="1" applyAlignment="1">
      <alignment horizontal="right" wrapText="1"/>
    </xf>
    <xf numFmtId="1" fontId="14" fillId="5" borderId="21" xfId="0" applyNumberFormat="1" applyFont="1" applyFill="1" applyBorder="1" applyAlignment="1">
      <alignment horizontal="center" vertical="center" wrapText="1"/>
    </xf>
    <xf numFmtId="4" fontId="1" fillId="5" borderId="19" xfId="0" applyNumberFormat="1" applyFont="1" applyFill="1" applyBorder="1" applyAlignment="1">
      <alignment wrapText="1"/>
    </xf>
    <xf numFmtId="4" fontId="1" fillId="5" borderId="18" xfId="0" applyNumberFormat="1" applyFont="1" applyFill="1" applyBorder="1" applyAlignment="1">
      <alignment wrapText="1"/>
    </xf>
    <xf numFmtId="4" fontId="6" fillId="8" borderId="31" xfId="0" applyNumberFormat="1" applyFont="1" applyFill="1" applyBorder="1" applyAlignment="1">
      <alignment wrapText="1"/>
    </xf>
    <xf numFmtId="4" fontId="6" fillId="8" borderId="32" xfId="0" applyNumberFormat="1" applyFont="1" applyFill="1" applyBorder="1" applyAlignment="1">
      <alignment wrapText="1"/>
    </xf>
    <xf numFmtId="1" fontId="6" fillId="24" borderId="21" xfId="0" applyNumberFormat="1" applyFont="1" applyFill="1" applyBorder="1" applyAlignment="1">
      <alignment horizontal="center" vertical="center" wrapText="1"/>
    </xf>
    <xf numFmtId="4" fontId="8" fillId="3" borderId="33" xfId="0" applyNumberFormat="1" applyFont="1" applyFill="1" applyBorder="1" applyAlignment="1">
      <alignment horizontal="right" wrapText="1"/>
    </xf>
    <xf numFmtId="4" fontId="6" fillId="24" borderId="20" xfId="0" applyNumberFormat="1" applyFont="1" applyFill="1" applyBorder="1" applyAlignment="1">
      <alignment wrapText="1"/>
    </xf>
    <xf numFmtId="1" fontId="6" fillId="5" borderId="12" xfId="0" applyNumberFormat="1" applyFont="1" applyFill="1" applyBorder="1" applyAlignment="1">
      <alignment horizontal="center" vertical="center" wrapText="1"/>
    </xf>
    <xf numFmtId="4" fontId="6" fillId="8" borderId="67" xfId="0" applyNumberFormat="1" applyFont="1" applyFill="1" applyBorder="1" applyAlignment="1">
      <alignment wrapText="1"/>
    </xf>
    <xf numFmtId="4" fontId="6" fillId="8" borderId="57" xfId="0" applyNumberFormat="1" applyFont="1" applyFill="1" applyBorder="1" applyAlignment="1">
      <alignment wrapText="1"/>
    </xf>
    <xf numFmtId="4" fontId="6" fillId="3" borderId="11" xfId="0" applyNumberFormat="1" applyFont="1" applyFill="1" applyBorder="1" applyAlignment="1">
      <alignment horizontal="right" wrapText="1"/>
    </xf>
    <xf numFmtId="4" fontId="6" fillId="24" borderId="0" xfId="0" applyNumberFormat="1" applyFont="1" applyFill="1" applyBorder="1" applyAlignment="1">
      <alignment horizontal="center"/>
    </xf>
    <xf numFmtId="164" fontId="10" fillId="10" borderId="13" xfId="0" applyNumberFormat="1" applyFont="1" applyFill="1" applyBorder="1" applyAlignment="1">
      <alignment horizontal="center"/>
    </xf>
    <xf numFmtId="164" fontId="10" fillId="10" borderId="48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center" wrapText="1"/>
    </xf>
    <xf numFmtId="4" fontId="5" fillId="10" borderId="48" xfId="0" applyNumberFormat="1" applyFont="1" applyFill="1" applyBorder="1" applyAlignment="1">
      <alignment horizontal="center" wrapText="1"/>
    </xf>
    <xf numFmtId="164" fontId="10" fillId="10" borderId="40" xfId="0" applyNumberFormat="1" applyFont="1" applyFill="1" applyBorder="1" applyAlignment="1">
      <alignment horizontal="center"/>
    </xf>
    <xf numFmtId="1" fontId="5" fillId="5" borderId="63" xfId="0" applyNumberFormat="1" applyFont="1" applyFill="1" applyBorder="1" applyAlignment="1">
      <alignment horizontal="center" vertical="center" wrapText="1"/>
    </xf>
    <xf numFmtId="1" fontId="5" fillId="5" borderId="6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wrapText="1"/>
    </xf>
    <xf numFmtId="4" fontId="1" fillId="0" borderId="68" xfId="0" applyNumberFormat="1" applyFont="1" applyFill="1" applyBorder="1" applyAlignment="1">
      <alignment wrapText="1"/>
    </xf>
    <xf numFmtId="4" fontId="1" fillId="0" borderId="69" xfId="0" applyNumberFormat="1" applyFont="1" applyFill="1" applyBorder="1" applyAlignment="1">
      <alignment wrapText="1"/>
    </xf>
    <xf numFmtId="1" fontId="6" fillId="5" borderId="19" xfId="0" applyNumberFormat="1" applyFont="1" applyFill="1" applyBorder="1" applyAlignment="1">
      <alignment horizontal="center" vertical="center" wrapText="1"/>
    </xf>
    <xf numFmtId="1" fontId="5" fillId="5" borderId="27" xfId="0" applyNumberFormat="1" applyFont="1" applyFill="1" applyBorder="1" applyAlignment="1">
      <alignment horizontal="center" vertical="center" wrapText="1"/>
    </xf>
    <xf numFmtId="1" fontId="5" fillId="5" borderId="59" xfId="0" applyNumberFormat="1" applyFont="1" applyFill="1" applyBorder="1" applyAlignment="1">
      <alignment horizontal="center" vertical="center" wrapText="1"/>
    </xf>
    <xf numFmtId="4" fontId="10" fillId="3" borderId="44" xfId="0" applyNumberFormat="1" applyFont="1" applyFill="1" applyBorder="1" applyAlignment="1">
      <alignment horizontal="right" wrapText="1"/>
    </xf>
    <xf numFmtId="1" fontId="5" fillId="20" borderId="48" xfId="0" applyNumberFormat="1" applyFont="1" applyFill="1" applyBorder="1" applyAlignment="1">
      <alignment horizontal="center" vertical="center" wrapText="1"/>
    </xf>
    <xf numFmtId="4" fontId="5" fillId="20" borderId="33" xfId="0" applyNumberFormat="1" applyFont="1" applyFill="1" applyBorder="1" applyAlignment="1">
      <alignment wrapText="1"/>
    </xf>
    <xf numFmtId="4" fontId="5" fillId="20" borderId="11" xfId="0" applyNumberFormat="1" applyFont="1" applyFill="1" applyBorder="1" applyAlignment="1">
      <alignment/>
    </xf>
    <xf numFmtId="1" fontId="5" fillId="20" borderId="31" xfId="0" applyNumberFormat="1" applyFont="1" applyFill="1" applyBorder="1" applyAlignment="1">
      <alignment horizontal="center" vertical="center" wrapText="1"/>
    </xf>
    <xf numFmtId="4" fontId="4" fillId="20" borderId="32" xfId="0" applyNumberFormat="1" applyFont="1" applyFill="1" applyBorder="1" applyAlignment="1">
      <alignment wrapText="1"/>
    </xf>
    <xf numFmtId="4" fontId="4" fillId="20" borderId="43" xfId="0" applyNumberFormat="1" applyFont="1" applyFill="1" applyBorder="1" applyAlignment="1">
      <alignment wrapText="1"/>
    </xf>
    <xf numFmtId="4" fontId="4" fillId="20" borderId="15" xfId="0" applyNumberFormat="1" applyFont="1" applyFill="1" applyBorder="1" applyAlignment="1">
      <alignment wrapText="1"/>
    </xf>
    <xf numFmtId="4" fontId="1" fillId="20" borderId="32" xfId="0" applyNumberFormat="1" applyFont="1" applyFill="1" applyBorder="1" applyAlignment="1">
      <alignment wrapText="1"/>
    </xf>
    <xf numFmtId="4" fontId="6" fillId="7" borderId="22" xfId="0" applyNumberFormat="1" applyFont="1" applyFill="1" applyBorder="1" applyAlignment="1">
      <alignment horizontal="center"/>
    </xf>
    <xf numFmtId="4" fontId="6" fillId="7" borderId="29" xfId="0" applyNumberFormat="1" applyFont="1" applyFill="1" applyBorder="1" applyAlignment="1">
      <alignment horizontal="center"/>
    </xf>
    <xf numFmtId="4" fontId="6" fillId="7" borderId="49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wrapText="1"/>
    </xf>
    <xf numFmtId="0" fontId="6" fillId="7" borderId="48" xfId="0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left" wrapText="1"/>
    </xf>
    <xf numFmtId="4" fontId="6" fillId="0" borderId="48" xfId="0" applyNumberFormat="1" applyFont="1" applyBorder="1" applyAlignment="1">
      <alignment horizontal="left" wrapText="1"/>
    </xf>
    <xf numFmtId="4" fontId="6" fillId="10" borderId="13" xfId="0" applyNumberFormat="1" applyFont="1" applyFill="1" applyBorder="1" applyAlignment="1">
      <alignment horizontal="center" wrapText="1"/>
    </xf>
    <xf numFmtId="4" fontId="6" fillId="10" borderId="48" xfId="0" applyNumberFormat="1" applyFont="1" applyFill="1" applyBorder="1" applyAlignment="1">
      <alignment horizontal="center" wrapText="1"/>
    </xf>
    <xf numFmtId="164" fontId="10" fillId="10" borderId="5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left" wrapText="1"/>
    </xf>
    <xf numFmtId="4" fontId="6" fillId="0" borderId="41" xfId="0" applyNumberFormat="1" applyFont="1" applyBorder="1" applyAlignment="1">
      <alignment horizontal="left" wrapText="1"/>
    </xf>
    <xf numFmtId="164" fontId="8" fillId="7" borderId="22" xfId="0" applyNumberFormat="1" applyFont="1" applyFill="1" applyBorder="1" applyAlignment="1">
      <alignment horizontal="center"/>
    </xf>
    <xf numFmtId="164" fontId="8" fillId="7" borderId="29" xfId="0" applyNumberFormat="1" applyFont="1" applyFill="1" applyBorder="1" applyAlignment="1">
      <alignment horizontal="center"/>
    </xf>
    <xf numFmtId="4" fontId="18" fillId="0" borderId="37" xfId="0" applyNumberFormat="1" applyFont="1" applyFill="1" applyBorder="1" applyAlignment="1">
      <alignment horizontal="left" wrapText="1"/>
    </xf>
    <xf numFmtId="4" fontId="18" fillId="0" borderId="58" xfId="0" applyNumberFormat="1" applyFont="1" applyFill="1" applyBorder="1" applyAlignment="1">
      <alignment horizontal="left" wrapText="1"/>
    </xf>
    <xf numFmtId="4" fontId="7" fillId="10" borderId="13" xfId="0" applyNumberFormat="1" applyFont="1" applyFill="1" applyBorder="1" applyAlignment="1">
      <alignment horizontal="left" wrapText="1"/>
    </xf>
    <xf numFmtId="4" fontId="7" fillId="10" borderId="48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0"/>
  <sheetViews>
    <sheetView workbookViewId="0" topLeftCell="A4">
      <pane xSplit="6150" ySplit="1530" topLeftCell="BB4" activePane="bottomRight" state="split"/>
      <selection pane="topLeft" activeCell="BE8" sqref="BE8"/>
      <selection pane="topRight" activeCell="AR4" sqref="AR1:AW16384"/>
      <selection pane="bottomLeft" activeCell="B25" sqref="B25"/>
      <selection pane="bottomRight" activeCell="BN4" sqref="BN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50390625" style="69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10.125" style="8" bestFit="1" customWidth="1"/>
    <col min="20" max="25" width="8.625" style="313" hidden="1" customWidth="1"/>
    <col min="26" max="26" width="7.50390625" style="313" hidden="1" customWidth="1"/>
    <col min="27" max="28" width="8.375" style="313" hidden="1" customWidth="1"/>
    <col min="29" max="29" width="8.875" style="313" hidden="1" customWidth="1"/>
    <col min="30" max="30" width="7.50390625" style="313" hidden="1" customWidth="1"/>
    <col min="31" max="31" width="8.375" style="313" hidden="1" customWidth="1"/>
    <col min="32" max="32" width="8.75390625" style="313" hidden="1" customWidth="1"/>
    <col min="33" max="33" width="10.125" style="313" bestFit="1" customWidth="1"/>
    <col min="34" max="34" width="7.75390625" style="313" hidden="1" customWidth="1"/>
    <col min="35" max="36" width="8.875" style="313" hidden="1" customWidth="1"/>
    <col min="37" max="37" width="7.75390625" style="313" hidden="1" customWidth="1"/>
    <col min="38" max="38" width="10.875" style="313" hidden="1" customWidth="1"/>
    <col min="39" max="39" width="8.375" style="313" hidden="1" customWidth="1"/>
    <col min="40" max="42" width="8.75390625" style="313" hidden="1" customWidth="1"/>
    <col min="43" max="43" width="10.125" style="313" bestFit="1" customWidth="1"/>
    <col min="44" max="44" width="7.625" style="313" hidden="1" customWidth="1"/>
    <col min="45" max="45" width="7.125" style="313" hidden="1" customWidth="1"/>
    <col min="46" max="46" width="8.75390625" style="313" hidden="1" customWidth="1"/>
    <col min="47" max="47" width="9.125" style="313" hidden="1" customWidth="1"/>
    <col min="48" max="48" width="7.75390625" style="313" hidden="1" customWidth="1"/>
    <col min="49" max="49" width="9.125" style="313" hidden="1" customWidth="1"/>
    <col min="50" max="50" width="8.125" style="313" bestFit="1" customWidth="1"/>
    <col min="51" max="51" width="7.125" style="310" customWidth="1"/>
    <col min="52" max="52" width="8.875" style="313" customWidth="1"/>
    <col min="53" max="53" width="8.125" style="313" hidden="1" customWidth="1"/>
    <col min="54" max="54" width="8.125" style="313" customWidth="1"/>
    <col min="55" max="55" width="7.75390625" style="313" hidden="1" customWidth="1"/>
    <col min="56" max="56" width="8.25390625" style="313" hidden="1" customWidth="1"/>
    <col min="57" max="57" width="9.125" style="313" bestFit="1" customWidth="1"/>
    <col min="58" max="58" width="8.25390625" style="313" bestFit="1" customWidth="1"/>
    <col min="59" max="62" width="8.25390625" style="313" customWidth="1"/>
    <col min="63" max="63" width="6.875" style="313" hidden="1" customWidth="1"/>
    <col min="64" max="64" width="8.25390625" style="313" hidden="1" customWidth="1"/>
    <col min="65" max="65" width="8.625" style="313" customWidth="1"/>
    <col min="66" max="66" width="9.375" style="313" customWidth="1"/>
    <col min="67" max="67" width="9.875" style="313" customWidth="1"/>
    <col min="68" max="68" width="11.625" style="26" customWidth="1"/>
    <col min="69" max="69" width="11.00390625" style="2" customWidth="1"/>
    <col min="70" max="70" width="9.25390625" style="1" hidden="1" customWidth="1"/>
    <col min="71" max="71" width="11.25390625" style="1" customWidth="1"/>
    <col min="72" max="16384" width="9.00390625" style="1" customWidth="1"/>
  </cols>
  <sheetData>
    <row r="1" spans="1:69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517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25"/>
      <c r="BQ1" s="13"/>
    </row>
    <row r="2" ht="43.5" customHeight="1">
      <c r="A2" s="8"/>
    </row>
    <row r="3" spans="1:69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517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25"/>
      <c r="BQ3" s="13"/>
    </row>
    <row r="4" spans="1:70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409" t="s">
        <v>132</v>
      </c>
      <c r="AF4" s="408" t="s">
        <v>133</v>
      </c>
      <c r="AG4" s="185" t="s">
        <v>140</v>
      </c>
      <c r="AH4" s="311" t="s">
        <v>111</v>
      </c>
      <c r="AI4" s="37" t="s">
        <v>136</v>
      </c>
      <c r="AJ4" s="72" t="s">
        <v>143</v>
      </c>
      <c r="AK4" s="311" t="s">
        <v>112</v>
      </c>
      <c r="AL4" s="37" t="s">
        <v>144</v>
      </c>
      <c r="AM4" s="440" t="s">
        <v>145</v>
      </c>
      <c r="AN4" s="311" t="s">
        <v>113</v>
      </c>
      <c r="AO4" s="409" t="s">
        <v>163</v>
      </c>
      <c r="AP4" s="481" t="s">
        <v>164</v>
      </c>
      <c r="AQ4" s="185" t="s">
        <v>166</v>
      </c>
      <c r="AR4" s="499" t="s">
        <v>173</v>
      </c>
      <c r="AS4" s="501" t="s">
        <v>170</v>
      </c>
      <c r="AT4" s="300" t="s">
        <v>153</v>
      </c>
      <c r="AU4" s="468" t="s">
        <v>102</v>
      </c>
      <c r="AV4" s="453" t="s">
        <v>154</v>
      </c>
      <c r="AW4" s="457" t="s">
        <v>155</v>
      </c>
      <c r="AX4" s="515" t="s">
        <v>174</v>
      </c>
      <c r="AY4" s="524" t="s">
        <v>176</v>
      </c>
      <c r="AZ4" s="72" t="s">
        <v>177</v>
      </c>
      <c r="BA4" s="533" t="s">
        <v>179</v>
      </c>
      <c r="BB4" s="540" t="s">
        <v>180</v>
      </c>
      <c r="BC4" s="516" t="s">
        <v>103</v>
      </c>
      <c r="BD4" s="453" t="s">
        <v>154</v>
      </c>
      <c r="BE4" s="515" t="s">
        <v>156</v>
      </c>
      <c r="BF4" s="515" t="s">
        <v>181</v>
      </c>
      <c r="BG4" s="564" t="s">
        <v>184</v>
      </c>
      <c r="BH4" s="565" t="s">
        <v>185</v>
      </c>
      <c r="BI4" s="566" t="s">
        <v>186</v>
      </c>
      <c r="BJ4" s="571" t="s">
        <v>187</v>
      </c>
      <c r="BK4" s="468" t="s">
        <v>116</v>
      </c>
      <c r="BL4" s="453" t="s">
        <v>154</v>
      </c>
      <c r="BM4" s="130" t="s">
        <v>190</v>
      </c>
      <c r="BN4" s="568" t="s">
        <v>188</v>
      </c>
      <c r="BO4" s="357" t="s">
        <v>189</v>
      </c>
      <c r="BP4" s="225" t="s">
        <v>159</v>
      </c>
      <c r="BQ4" s="219" t="s">
        <v>55</v>
      </c>
      <c r="BR4" s="96" t="s">
        <v>130</v>
      </c>
    </row>
    <row r="5" spans="1:70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407">
        <v>98996</v>
      </c>
      <c r="AF5" s="363">
        <f>AD5-AE5</f>
        <v>4</v>
      </c>
      <c r="AG5" s="78">
        <f>U5+AB5+AE5</f>
        <v>288554</v>
      </c>
      <c r="AH5" s="362">
        <v>99000</v>
      </c>
      <c r="AI5" s="407">
        <v>98993</v>
      </c>
      <c r="AJ5" s="362">
        <f>AH5-AI5</f>
        <v>7</v>
      </c>
      <c r="AK5" s="362">
        <v>99000</v>
      </c>
      <c r="AL5" s="427">
        <v>99000</v>
      </c>
      <c r="AM5" s="424">
        <f>AK5-AL5</f>
        <v>0</v>
      </c>
      <c r="AN5" s="480">
        <v>99000</v>
      </c>
      <c r="AO5" s="407">
        <v>98985</v>
      </c>
      <c r="AP5" s="86">
        <f aca="true" t="shared" si="0" ref="AP5:AP11">AN5-AO5</f>
        <v>15</v>
      </c>
      <c r="AQ5" s="78">
        <f aca="true" t="shared" si="1" ref="AQ5:AQ11">AI5+AL5+AO5</f>
        <v>296978</v>
      </c>
      <c r="AR5" s="500"/>
      <c r="AS5" s="321"/>
      <c r="AT5" s="340">
        <v>113580.51</v>
      </c>
      <c r="AU5" s="363">
        <v>99000</v>
      </c>
      <c r="AV5" s="470">
        <v>0</v>
      </c>
      <c r="AW5" s="462">
        <f>AU5+AV5</f>
        <v>99000</v>
      </c>
      <c r="AX5" s="514">
        <f>AS5+AW5-50499</f>
        <v>48501</v>
      </c>
      <c r="AY5" s="525">
        <v>48501</v>
      </c>
      <c r="AZ5" s="23">
        <f aca="true" t="shared" si="2" ref="AZ5:AZ11">AX5-AY5</f>
        <v>0</v>
      </c>
      <c r="BA5" s="480"/>
      <c r="BB5" s="541">
        <v>0</v>
      </c>
      <c r="BC5" s="514">
        <v>19719.81300700002</v>
      </c>
      <c r="BD5" s="470">
        <v>56790</v>
      </c>
      <c r="BE5" s="480">
        <f>BC5+BD5+8289.51</f>
        <v>84799.32300700001</v>
      </c>
      <c r="BF5" s="23">
        <f aca="true" t="shared" si="3" ref="BF5:BF11">BB5+BE5</f>
        <v>84799.32300700001</v>
      </c>
      <c r="BG5" s="265">
        <v>0</v>
      </c>
      <c r="BH5" s="562">
        <v>0</v>
      </c>
      <c r="BI5" s="563">
        <f aca="true" t="shared" si="4" ref="BI5:BI11">BG5-BH5</f>
        <v>0</v>
      </c>
      <c r="BJ5" s="572">
        <f>BF5+BH5</f>
        <v>84799.32300700001</v>
      </c>
      <c r="BK5" s="363">
        <v>0</v>
      </c>
      <c r="BL5" s="470">
        <f aca="true" t="shared" si="5" ref="BL5:BL11">AT5-AV5-BD5</f>
        <v>56790.509999999995</v>
      </c>
      <c r="BM5" s="480">
        <f>BK5+BL5+42209.49</f>
        <v>99000</v>
      </c>
      <c r="BN5" s="573">
        <f>BI5+BM5</f>
        <v>99000</v>
      </c>
      <c r="BO5" s="78">
        <f>AY5+BJ5+BN5</f>
        <v>232300.32300700003</v>
      </c>
      <c r="BP5" s="543">
        <f aca="true" t="shared" si="6" ref="BP5:BP11">S5+AG5+AQ5+BO5</f>
        <v>1117140.3230070001</v>
      </c>
      <c r="BQ5" s="148">
        <f aca="true" t="shared" si="7" ref="BQ5:BQ11">S5+AG5+AQ5+AY5</f>
        <v>933341</v>
      </c>
      <c r="BR5" s="86"/>
    </row>
    <row r="6" spans="1:70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G6*H23/100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M6*M23/100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40000-9479+11250</f>
        <v>41771</v>
      </c>
      <c r="AE6" s="79">
        <v>45419</v>
      </c>
      <c r="AF6" s="352">
        <f>AD6-AE6</f>
        <v>-3648</v>
      </c>
      <c r="AG6" s="77">
        <f>U6+AB6+AE6</f>
        <v>140945</v>
      </c>
      <c r="AH6" s="83">
        <f>40000-11250</f>
        <v>28750</v>
      </c>
      <c r="AI6" s="79">
        <v>32627</v>
      </c>
      <c r="AJ6" s="418">
        <f>AH6-AI6</f>
        <v>-3877</v>
      </c>
      <c r="AK6" s="83">
        <v>40000</v>
      </c>
      <c r="AL6" s="428">
        <v>48015</v>
      </c>
      <c r="AM6" s="441">
        <f>AK6-AL6</f>
        <v>-8015</v>
      </c>
      <c r="AN6" s="24">
        <f>40000+1082</f>
        <v>41082</v>
      </c>
      <c r="AO6" s="79">
        <v>56108</v>
      </c>
      <c r="AP6" s="483">
        <f t="shared" si="0"/>
        <v>-15026</v>
      </c>
      <c r="AQ6" s="77">
        <f t="shared" si="1"/>
        <v>136750</v>
      </c>
      <c r="AR6" s="24">
        <f>(S6+AG6+AQ6)/9</f>
        <v>49273.555555555555</v>
      </c>
      <c r="AS6" s="265">
        <f>AR6*AR25/100</f>
        <v>1304.081652859541</v>
      </c>
      <c r="AT6" s="341">
        <v>51573.62</v>
      </c>
      <c r="AU6" s="364">
        <v>40000</v>
      </c>
      <c r="AV6" s="471">
        <v>11217</v>
      </c>
      <c r="AW6" s="463">
        <f>AU6+AV6-1082</f>
        <v>50135</v>
      </c>
      <c r="AX6" s="364">
        <f>AS6+AW6</f>
        <v>51439.08165285954</v>
      </c>
      <c r="AY6" s="526">
        <v>51428</v>
      </c>
      <c r="AZ6" s="24">
        <f t="shared" si="2"/>
        <v>11.081652859538735</v>
      </c>
      <c r="BA6" s="24"/>
      <c r="BB6" s="542">
        <v>0</v>
      </c>
      <c r="BC6" s="364">
        <v>29643.709310200007</v>
      </c>
      <c r="BD6" s="471">
        <v>20357</v>
      </c>
      <c r="BE6" s="24">
        <f>BC6+BD6</f>
        <v>50000.70931020001</v>
      </c>
      <c r="BF6" s="24">
        <f t="shared" si="3"/>
        <v>50000.70931020001</v>
      </c>
      <c r="BG6" s="341">
        <v>31952.81</v>
      </c>
      <c r="BH6" s="562">
        <v>11952.814</v>
      </c>
      <c r="BI6" s="563">
        <f t="shared" si="4"/>
        <v>19999.996</v>
      </c>
      <c r="BJ6" s="572">
        <f>BF6+BH6</f>
        <v>61953.523310200006</v>
      </c>
      <c r="BK6" s="364">
        <v>0</v>
      </c>
      <c r="BL6" s="471">
        <f t="shared" si="5"/>
        <v>19999.620000000003</v>
      </c>
      <c r="BM6" s="24">
        <f aca="true" t="shared" si="8" ref="BM6:BM11">BK6+BL6</f>
        <v>19999.620000000003</v>
      </c>
      <c r="BN6" s="574">
        <f>BI6+BM6</f>
        <v>39999.616</v>
      </c>
      <c r="BO6" s="77">
        <f>AY6+BJ6+BN6</f>
        <v>153381.1393102</v>
      </c>
      <c r="BP6" s="544">
        <f t="shared" si="6"/>
        <v>596843.1393102</v>
      </c>
      <c r="BQ6" s="149">
        <f t="shared" si="7"/>
        <v>494890</v>
      </c>
      <c r="BR6" s="87"/>
    </row>
    <row r="7" spans="1:70" s="5" customFormat="1" ht="24" customHeight="1">
      <c r="A7" s="4">
        <v>3</v>
      </c>
      <c r="B7" s="477" t="s">
        <v>160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G7*H23/100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M7*M23/100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W7*X25/100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>AA7-AB7</f>
        <v>-78424.99874254865</v>
      </c>
      <c r="AD7" s="364">
        <f>20000-750.53+2075.53</f>
        <v>21325</v>
      </c>
      <c r="AE7" s="79">
        <v>106925</v>
      </c>
      <c r="AF7" s="352">
        <f>AD7-AE7</f>
        <v>-85600</v>
      </c>
      <c r="AG7" s="77">
        <f>U7+AB7+AE7</f>
        <v>248085</v>
      </c>
      <c r="AH7" s="83">
        <f>20000-2075.53+160.53</f>
        <v>18085</v>
      </c>
      <c r="AI7" s="79">
        <v>68585</v>
      </c>
      <c r="AJ7" s="418">
        <f>AH7-AI7</f>
        <v>-50500</v>
      </c>
      <c r="AK7" s="83">
        <f>20000-160.53+145.53</f>
        <v>19985</v>
      </c>
      <c r="AL7" s="428">
        <v>110055</v>
      </c>
      <c r="AM7" s="441">
        <f>AK7-AL7</f>
        <v>-90070</v>
      </c>
      <c r="AN7" s="24">
        <f>20000-145.53+1200.53</f>
        <v>21055</v>
      </c>
      <c r="AO7" s="79">
        <v>119355</v>
      </c>
      <c r="AP7" s="483">
        <f t="shared" si="0"/>
        <v>-98300</v>
      </c>
      <c r="AQ7" s="77">
        <f t="shared" si="1"/>
        <v>297995</v>
      </c>
      <c r="AR7" s="24">
        <f>(S7+AG7+AQ7)/9</f>
        <v>94917.77777777778</v>
      </c>
      <c r="AS7" s="265">
        <f>AR7*AR25/100</f>
        <v>2512.1088002394604</v>
      </c>
      <c r="AT7" s="341">
        <v>27880.53</v>
      </c>
      <c r="AU7" s="364">
        <v>20623</v>
      </c>
      <c r="AV7" s="471">
        <v>5000</v>
      </c>
      <c r="AW7" s="463">
        <f>AU7+AV7-1200.53</f>
        <v>24422.47</v>
      </c>
      <c r="AX7" s="364">
        <f>AS7+AW7</f>
        <v>26934.578800239462</v>
      </c>
      <c r="AY7" s="526">
        <v>108185</v>
      </c>
      <c r="AZ7" s="208">
        <f t="shared" si="2"/>
        <v>-81250.42119976055</v>
      </c>
      <c r="BA7" s="24">
        <f>(S7+AG7+AQ7+AY7)/10</f>
        <v>96244.5</v>
      </c>
      <c r="BB7" s="542">
        <f>BA7*AZ25/100</f>
        <v>1532.207703355409</v>
      </c>
      <c r="BC7" s="364">
        <v>20000.19</v>
      </c>
      <c r="BD7" s="471">
        <v>5000</v>
      </c>
      <c r="BE7" s="24">
        <f>BC7+BD7</f>
        <v>25000.19</v>
      </c>
      <c r="BF7" s="561">
        <f t="shared" si="3"/>
        <v>26532.397703355407</v>
      </c>
      <c r="BG7" s="341">
        <v>16626.63</v>
      </c>
      <c r="BH7" s="562">
        <v>6626.63</v>
      </c>
      <c r="BI7" s="563">
        <f t="shared" si="4"/>
        <v>10000</v>
      </c>
      <c r="BJ7" s="572">
        <f aca="true" t="shared" si="9" ref="BJ7:BJ20">BF7+BH7</f>
        <v>33159.02770335541</v>
      </c>
      <c r="BK7" s="364">
        <v>0.0030900000165274832</v>
      </c>
      <c r="BL7" s="471">
        <f t="shared" si="5"/>
        <v>17880.53</v>
      </c>
      <c r="BM7" s="24">
        <f t="shared" si="8"/>
        <v>17880.533090000015</v>
      </c>
      <c r="BN7" s="574">
        <f aca="true" t="shared" si="10" ref="BN7:BN20">BI7+BM7</f>
        <v>27880.533090000015</v>
      </c>
      <c r="BO7" s="77">
        <f aca="true" t="shared" si="11" ref="BO7:BO20">AY7+BJ7+BN7</f>
        <v>169224.56079335543</v>
      </c>
      <c r="BP7" s="544">
        <f t="shared" si="6"/>
        <v>1023484.5607933555</v>
      </c>
      <c r="BQ7" s="149">
        <f t="shared" si="7"/>
        <v>962445</v>
      </c>
      <c r="BR7" s="87"/>
    </row>
    <row r="8" spans="1:70" s="5" customFormat="1" ht="24" customHeight="1">
      <c r="A8" s="4">
        <v>4</v>
      </c>
      <c r="B8" s="476" t="s">
        <v>161</v>
      </c>
      <c r="C8" s="149"/>
      <c r="D8" s="33"/>
      <c r="E8" s="251"/>
      <c r="F8" s="204"/>
      <c r="G8" s="32"/>
      <c r="H8" s="33"/>
      <c r="I8" s="32"/>
      <c r="J8" s="181"/>
      <c r="K8" s="45"/>
      <c r="L8" s="204"/>
      <c r="M8" s="268"/>
      <c r="N8" s="33"/>
      <c r="O8" s="268"/>
      <c r="P8" s="298"/>
      <c r="Q8" s="45"/>
      <c r="R8" s="204"/>
      <c r="S8" s="77"/>
      <c r="T8" s="315"/>
      <c r="U8" s="337"/>
      <c r="V8" s="352"/>
      <c r="W8" s="265"/>
      <c r="X8" s="315"/>
      <c r="Y8" s="341"/>
      <c r="Z8" s="83"/>
      <c r="AA8" s="394"/>
      <c r="AB8" s="397"/>
      <c r="AC8" s="400"/>
      <c r="AD8" s="364"/>
      <c r="AE8" s="79"/>
      <c r="AF8" s="352"/>
      <c r="AG8" s="77"/>
      <c r="AH8" s="83"/>
      <c r="AI8" s="79"/>
      <c r="AJ8" s="418"/>
      <c r="AK8" s="83"/>
      <c r="AL8" s="428"/>
      <c r="AM8" s="441"/>
      <c r="AN8" s="24">
        <v>0</v>
      </c>
      <c r="AO8" s="79">
        <v>0</v>
      </c>
      <c r="AP8" s="87">
        <f t="shared" si="0"/>
        <v>0</v>
      </c>
      <c r="AQ8" s="77">
        <f t="shared" si="1"/>
        <v>0</v>
      </c>
      <c r="AR8" s="24"/>
      <c r="AS8" s="265"/>
      <c r="AT8" s="341">
        <v>40544.33</v>
      </c>
      <c r="AU8" s="364">
        <v>0</v>
      </c>
      <c r="AV8" s="471">
        <v>15000</v>
      </c>
      <c r="AW8" s="463">
        <f>AU8+AV8</f>
        <v>15000</v>
      </c>
      <c r="AX8" s="364">
        <f>AS8+AW8+600</f>
        <v>15600</v>
      </c>
      <c r="AY8" s="526">
        <v>62380</v>
      </c>
      <c r="AZ8" s="208">
        <f t="shared" si="2"/>
        <v>-46780</v>
      </c>
      <c r="BA8" s="24">
        <f>(S8+AG8+AQ8+AY8)/1</f>
        <v>62380</v>
      </c>
      <c r="BB8" s="542">
        <f>BA8*AZ25/100</f>
        <v>993.0865299867567</v>
      </c>
      <c r="BC8" s="364">
        <v>0</v>
      </c>
      <c r="BD8" s="471">
        <v>15000</v>
      </c>
      <c r="BE8" s="24">
        <f>BC8+BD8-600</f>
        <v>14400</v>
      </c>
      <c r="BF8" s="561">
        <f t="shared" si="3"/>
        <v>15393.086529986756</v>
      </c>
      <c r="BG8" s="341">
        <v>26226.62</v>
      </c>
      <c r="BH8" s="562">
        <v>16226.62</v>
      </c>
      <c r="BI8" s="563">
        <f t="shared" si="4"/>
        <v>9999.999999999998</v>
      </c>
      <c r="BJ8" s="572">
        <f t="shared" si="9"/>
        <v>31619.706529986757</v>
      </c>
      <c r="BK8" s="364">
        <v>0</v>
      </c>
      <c r="BL8" s="471">
        <f t="shared" si="5"/>
        <v>10544.330000000002</v>
      </c>
      <c r="BM8" s="24">
        <f t="shared" si="8"/>
        <v>10544.330000000002</v>
      </c>
      <c r="BN8" s="574">
        <f t="shared" si="10"/>
        <v>20544.33</v>
      </c>
      <c r="BO8" s="77">
        <f t="shared" si="11"/>
        <v>114544.03652998676</v>
      </c>
      <c r="BP8" s="544">
        <f t="shared" si="6"/>
        <v>114544.03652998676</v>
      </c>
      <c r="BQ8" s="149">
        <f t="shared" si="7"/>
        <v>62380</v>
      </c>
      <c r="BR8" s="87"/>
    </row>
    <row r="9" spans="1:70" s="5" customFormat="1" ht="24" customHeight="1">
      <c r="A9" s="4">
        <v>5</v>
      </c>
      <c r="B9" s="476" t="s">
        <v>162</v>
      </c>
      <c r="C9" s="149"/>
      <c r="D9" s="33"/>
      <c r="E9" s="251"/>
      <c r="F9" s="204"/>
      <c r="G9" s="32"/>
      <c r="H9" s="33"/>
      <c r="I9" s="32"/>
      <c r="J9" s="181"/>
      <c r="K9" s="45"/>
      <c r="L9" s="204"/>
      <c r="M9" s="268"/>
      <c r="N9" s="33"/>
      <c r="O9" s="268"/>
      <c r="P9" s="298"/>
      <c r="Q9" s="45"/>
      <c r="R9" s="204"/>
      <c r="S9" s="77"/>
      <c r="T9" s="315"/>
      <c r="U9" s="337"/>
      <c r="V9" s="352"/>
      <c r="W9" s="265"/>
      <c r="X9" s="315"/>
      <c r="Y9" s="341"/>
      <c r="Z9" s="83"/>
      <c r="AA9" s="394"/>
      <c r="AB9" s="397"/>
      <c r="AC9" s="400"/>
      <c r="AD9" s="364"/>
      <c r="AE9" s="79"/>
      <c r="AF9" s="352"/>
      <c r="AG9" s="77"/>
      <c r="AH9" s="83"/>
      <c r="AI9" s="79"/>
      <c r="AJ9" s="418"/>
      <c r="AK9" s="83"/>
      <c r="AL9" s="428"/>
      <c r="AM9" s="441"/>
      <c r="AN9" s="24">
        <v>0</v>
      </c>
      <c r="AO9" s="79">
        <v>0</v>
      </c>
      <c r="AP9" s="87">
        <f t="shared" si="0"/>
        <v>0</v>
      </c>
      <c r="AQ9" s="77">
        <f t="shared" si="1"/>
        <v>0</v>
      </c>
      <c r="AR9" s="24"/>
      <c r="AS9" s="265"/>
      <c r="AT9" s="341">
        <v>16166.46</v>
      </c>
      <c r="AU9" s="364">
        <v>0</v>
      </c>
      <c r="AV9" s="471">
        <v>6000</v>
      </c>
      <c r="AW9" s="463">
        <f>AU9+AV9</f>
        <v>6000</v>
      </c>
      <c r="AX9" s="364">
        <f>AS9+AW9</f>
        <v>6000</v>
      </c>
      <c r="AY9" s="526">
        <v>34370</v>
      </c>
      <c r="AZ9" s="208">
        <f t="shared" si="2"/>
        <v>-28370</v>
      </c>
      <c r="BA9" s="24">
        <f>(S9+AG9+AQ9+AY9)/1</f>
        <v>34370</v>
      </c>
      <c r="BB9" s="542">
        <f>BA9*AZ25/100</f>
        <v>547.1687084906192</v>
      </c>
      <c r="BC9" s="364">
        <v>0</v>
      </c>
      <c r="BD9" s="471">
        <v>6000</v>
      </c>
      <c r="BE9" s="24">
        <f>BC9+BD9</f>
        <v>6000</v>
      </c>
      <c r="BF9" s="561">
        <f t="shared" si="3"/>
        <v>6547.168708490619</v>
      </c>
      <c r="BG9" s="341">
        <v>10457.48</v>
      </c>
      <c r="BH9" s="562">
        <v>6000</v>
      </c>
      <c r="BI9" s="563">
        <f t="shared" si="4"/>
        <v>4457.48</v>
      </c>
      <c r="BJ9" s="572">
        <f t="shared" si="9"/>
        <v>12547.168708490619</v>
      </c>
      <c r="BK9" s="364">
        <v>0</v>
      </c>
      <c r="BL9" s="471">
        <f t="shared" si="5"/>
        <v>4166.459999999999</v>
      </c>
      <c r="BM9" s="24">
        <f t="shared" si="8"/>
        <v>4166.459999999999</v>
      </c>
      <c r="BN9" s="574">
        <f t="shared" si="10"/>
        <v>8623.939999999999</v>
      </c>
      <c r="BO9" s="77">
        <f t="shared" si="11"/>
        <v>55541.10870849062</v>
      </c>
      <c r="BP9" s="544">
        <f t="shared" si="6"/>
        <v>55541.10870849062</v>
      </c>
      <c r="BQ9" s="149">
        <f t="shared" si="7"/>
        <v>34370</v>
      </c>
      <c r="BR9" s="87"/>
    </row>
    <row r="10" spans="1:70" s="5" customFormat="1" ht="26.25" customHeight="1">
      <c r="A10" s="4">
        <v>6</v>
      </c>
      <c r="B10" s="124" t="s">
        <v>7</v>
      </c>
      <c r="C10" s="149">
        <v>158383</v>
      </c>
      <c r="D10" s="33">
        <f>12001.81+1135.19</f>
        <v>13137</v>
      </c>
      <c r="E10" s="251">
        <v>13137</v>
      </c>
      <c r="F10" s="32">
        <f>D10-E10</f>
        <v>0</v>
      </c>
      <c r="G10" s="32">
        <f>(C10+E10)/13</f>
        <v>13193.846153846154</v>
      </c>
      <c r="H10" s="33">
        <f>11966.32-1135.19</f>
        <v>10831.13</v>
      </c>
      <c r="I10" s="32">
        <f>G10*H23/100</f>
        <v>404.09486364988953</v>
      </c>
      <c r="J10" s="181">
        <f>H10+I10+1121.78</f>
        <v>12357.004863649889</v>
      </c>
      <c r="K10" s="45">
        <v>12357</v>
      </c>
      <c r="L10" s="32">
        <f>J10-K10</f>
        <v>0.0048636498886480695</v>
      </c>
      <c r="M10" s="268">
        <f>(C10+E10+K10)/14</f>
        <v>13134.07142857143</v>
      </c>
      <c r="N10" s="33">
        <f>11966.32-1121.78</f>
        <v>10844.539999999999</v>
      </c>
      <c r="O10" s="268">
        <f>M10*M23/100</f>
        <v>238.97182756254446</v>
      </c>
      <c r="P10" s="298">
        <f>N10+O10</f>
        <v>11083.511827562543</v>
      </c>
      <c r="Q10" s="45">
        <v>11083</v>
      </c>
      <c r="R10" s="32">
        <f>P10-Q10</f>
        <v>0.5118275625427486</v>
      </c>
      <c r="S10" s="77">
        <f>E10+K10+Q10</f>
        <v>36577</v>
      </c>
      <c r="T10" s="315">
        <f>12087.19+1111.81</f>
        <v>13199</v>
      </c>
      <c r="U10" s="337">
        <v>13199</v>
      </c>
      <c r="V10" s="315">
        <f>T10-U10</f>
        <v>0</v>
      </c>
      <c r="W10" s="265">
        <f>(C10+S10+U10)/16</f>
        <v>13009.9375</v>
      </c>
      <c r="X10" s="315">
        <f>W10*X25/100</f>
        <v>1797.1807805540595</v>
      </c>
      <c r="Y10" s="341">
        <v>77123.49</v>
      </c>
      <c r="Z10" s="83">
        <f>12000-1111.81</f>
        <v>10888.19</v>
      </c>
      <c r="AA10" s="394">
        <f>X10+Z10+1265.63</f>
        <v>13951.000780554059</v>
      </c>
      <c r="AB10" s="397">
        <v>13951</v>
      </c>
      <c r="AC10" s="395">
        <f>AA10-AB10</f>
        <v>0.0007805540590197779</v>
      </c>
      <c r="AD10" s="364">
        <f>12000-1265.63+9.63</f>
        <v>10743.999999999998</v>
      </c>
      <c r="AE10" s="79">
        <v>10954</v>
      </c>
      <c r="AF10" s="410">
        <f>AD10-AE10</f>
        <v>-210.00000000000182</v>
      </c>
      <c r="AG10" s="77">
        <f>U10+AB10+AE10</f>
        <v>38104</v>
      </c>
      <c r="AH10" s="83">
        <f>12000-9.63+1174.63</f>
        <v>13165</v>
      </c>
      <c r="AI10" s="79">
        <v>13165</v>
      </c>
      <c r="AJ10" s="83">
        <f>AH10-AI10</f>
        <v>0</v>
      </c>
      <c r="AK10" s="83">
        <f>12000-1174.63+1086.63</f>
        <v>11912</v>
      </c>
      <c r="AL10" s="428">
        <v>11912</v>
      </c>
      <c r="AM10" s="425">
        <f>AK10-AL10</f>
        <v>0</v>
      </c>
      <c r="AN10" s="24">
        <f>12000-1086.63</f>
        <v>10913.369999999999</v>
      </c>
      <c r="AO10" s="79">
        <v>10913</v>
      </c>
      <c r="AP10" s="87">
        <f t="shared" si="0"/>
        <v>0.36999999999898137</v>
      </c>
      <c r="AQ10" s="77">
        <f t="shared" si="1"/>
        <v>35990</v>
      </c>
      <c r="AR10" s="24">
        <f>(S10+AG10+AQ10)/9</f>
        <v>12296.777777777777</v>
      </c>
      <c r="AS10" s="265">
        <f>AR10*AR25/100</f>
        <v>325.44845015721364</v>
      </c>
      <c r="AT10" s="341">
        <v>14162.82</v>
      </c>
      <c r="AU10" s="364">
        <v>12000</v>
      </c>
      <c r="AV10" s="471">
        <v>0</v>
      </c>
      <c r="AW10" s="463">
        <f>AU10+AV10</f>
        <v>12000</v>
      </c>
      <c r="AX10" s="364">
        <f>AS10+AW10+1226.55</f>
        <v>13551.998450157213</v>
      </c>
      <c r="AY10" s="526">
        <v>13552</v>
      </c>
      <c r="AZ10" s="24">
        <f t="shared" si="2"/>
        <v>-0.0015498427874263143</v>
      </c>
      <c r="BA10" s="24">
        <f>(S10+AG10+AQ10+AY10)/10</f>
        <v>12422.3</v>
      </c>
      <c r="BB10" s="542">
        <f>BA10*AZ25/100</f>
        <v>197.76240464018093</v>
      </c>
      <c r="BC10" s="364">
        <v>5123.493752520008</v>
      </c>
      <c r="BD10" s="471">
        <v>6877</v>
      </c>
      <c r="BE10" s="24">
        <f>BC10+BD10-1226.55</f>
        <v>10773.943752520008</v>
      </c>
      <c r="BF10" s="561">
        <f t="shared" si="3"/>
        <v>10971.70615716019</v>
      </c>
      <c r="BG10" s="341">
        <v>9161.4</v>
      </c>
      <c r="BH10" s="562">
        <v>6000</v>
      </c>
      <c r="BI10" s="563">
        <f t="shared" si="4"/>
        <v>3161.3999999999996</v>
      </c>
      <c r="BJ10" s="572">
        <f t="shared" si="9"/>
        <v>16971.706157160188</v>
      </c>
      <c r="BK10" s="364">
        <v>0</v>
      </c>
      <c r="BL10" s="471">
        <f t="shared" si="5"/>
        <v>7285.82</v>
      </c>
      <c r="BM10" s="24">
        <f t="shared" si="8"/>
        <v>7285.82</v>
      </c>
      <c r="BN10" s="574">
        <f t="shared" si="10"/>
        <v>10447.22</v>
      </c>
      <c r="BO10" s="77">
        <f t="shared" si="11"/>
        <v>40970.92615716019</v>
      </c>
      <c r="BP10" s="544">
        <f t="shared" si="6"/>
        <v>151641.9261571602</v>
      </c>
      <c r="BQ10" s="149">
        <f t="shared" si="7"/>
        <v>124223</v>
      </c>
      <c r="BR10" s="87"/>
    </row>
    <row r="11" spans="1:70" s="5" customFormat="1" ht="26.25" customHeight="1" thickBot="1">
      <c r="A11" s="4">
        <v>7</v>
      </c>
      <c r="B11" s="124" t="s">
        <v>11</v>
      </c>
      <c r="C11" s="149">
        <v>95375</v>
      </c>
      <c r="D11" s="33">
        <f>6662.76+652.24</f>
        <v>7315</v>
      </c>
      <c r="E11" s="251">
        <v>7725</v>
      </c>
      <c r="F11" s="204">
        <f>D11-E11</f>
        <v>-410</v>
      </c>
      <c r="G11" s="32">
        <f>(C11+E11)/13</f>
        <v>7930.7692307692305</v>
      </c>
      <c r="H11" s="33">
        <f>7170.08-652.24</f>
        <v>6517.84</v>
      </c>
      <c r="I11" s="32">
        <f>G11*H23/100</f>
        <v>242.8998393324604</v>
      </c>
      <c r="J11" s="181">
        <f>H11+I11+669.26</f>
        <v>7429.99983933246</v>
      </c>
      <c r="K11" s="45">
        <v>7745</v>
      </c>
      <c r="L11" s="204">
        <f>J11-K11</f>
        <v>-315.0001606675396</v>
      </c>
      <c r="M11" s="268">
        <f>(C11+E11+K11)/14</f>
        <v>7917.5</v>
      </c>
      <c r="N11" s="33">
        <f>7170.08-669.26</f>
        <v>6500.82</v>
      </c>
      <c r="O11" s="268">
        <f>M11*M23/100</f>
        <v>144.05734391016952</v>
      </c>
      <c r="P11" s="298">
        <f>N11+O11</f>
        <v>6644.87734391017</v>
      </c>
      <c r="Q11" s="45">
        <v>6850</v>
      </c>
      <c r="R11" s="204">
        <f>P11-Q11</f>
        <v>-205.12265608983034</v>
      </c>
      <c r="S11" s="77">
        <f>E11+K11+Q11</f>
        <v>22320</v>
      </c>
      <c r="T11" s="315">
        <f>7242.51+722.49</f>
        <v>7965</v>
      </c>
      <c r="U11" s="337">
        <v>7965</v>
      </c>
      <c r="V11" s="315">
        <f>T11-U11</f>
        <v>0</v>
      </c>
      <c r="W11" s="265">
        <f>(C11+S11+U11)/16</f>
        <v>7853.75</v>
      </c>
      <c r="X11" s="315">
        <f>W11*X25/100</f>
        <v>1084.9097895571324</v>
      </c>
      <c r="Y11" s="341">
        <v>46932.6</v>
      </c>
      <c r="Z11" s="83">
        <f>7000-722.49</f>
        <v>6277.51</v>
      </c>
      <c r="AA11" s="394">
        <f>X11+Z11</f>
        <v>7362.419789557132</v>
      </c>
      <c r="AB11" s="397">
        <v>7560</v>
      </c>
      <c r="AC11" s="400">
        <f>AA11-AB11</f>
        <v>-197.5802104428676</v>
      </c>
      <c r="AD11" s="364">
        <v>7000</v>
      </c>
      <c r="AE11" s="79">
        <v>7175</v>
      </c>
      <c r="AF11" s="352">
        <f>AD11-AE11</f>
        <v>-175</v>
      </c>
      <c r="AG11" s="77">
        <f>U11+AB11+AE11</f>
        <v>22700</v>
      </c>
      <c r="AH11" s="83">
        <v>7000</v>
      </c>
      <c r="AI11" s="79">
        <v>8200</v>
      </c>
      <c r="AJ11" s="418">
        <f>AH11-AI11</f>
        <v>-1200</v>
      </c>
      <c r="AK11" s="83">
        <v>7000</v>
      </c>
      <c r="AL11" s="428">
        <v>7390</v>
      </c>
      <c r="AM11" s="441">
        <f>AK11-AL11</f>
        <v>-390</v>
      </c>
      <c r="AN11" s="24">
        <v>7000</v>
      </c>
      <c r="AO11" s="79">
        <v>7650</v>
      </c>
      <c r="AP11" s="484">
        <f t="shared" si="0"/>
        <v>-650</v>
      </c>
      <c r="AQ11" s="77">
        <f t="shared" si="1"/>
        <v>23240</v>
      </c>
      <c r="AR11" s="24">
        <f>(S11+AG11+AQ11)/9</f>
        <v>7584.444444444444</v>
      </c>
      <c r="AS11" s="265">
        <f>AR11*AR25/100</f>
        <v>200.73109674378478</v>
      </c>
      <c r="AT11" s="341">
        <v>8618.62</v>
      </c>
      <c r="AU11" s="364">
        <v>7000</v>
      </c>
      <c r="AV11" s="471">
        <v>0</v>
      </c>
      <c r="AW11" s="463">
        <f>AU11+AV11</f>
        <v>7000</v>
      </c>
      <c r="AX11" s="364">
        <f>AS11+AW11</f>
        <v>7200.731096743785</v>
      </c>
      <c r="AY11" s="526">
        <v>7655</v>
      </c>
      <c r="AZ11" s="208">
        <f t="shared" si="2"/>
        <v>-454.2689032562148</v>
      </c>
      <c r="BA11" s="538">
        <f>(S11+AG11+AQ11+AY11)/10</f>
        <v>7591.5</v>
      </c>
      <c r="BB11" s="542">
        <f>BA11*AZ25/100</f>
        <v>120.85630638657364</v>
      </c>
      <c r="BC11" s="364">
        <v>4932.596685000004</v>
      </c>
      <c r="BD11" s="471">
        <v>4068</v>
      </c>
      <c r="BE11" s="24">
        <f>BC11+BD11</f>
        <v>9000.596685000004</v>
      </c>
      <c r="BF11" s="561">
        <f t="shared" si="3"/>
        <v>9121.452991386577</v>
      </c>
      <c r="BG11" s="342">
        <v>5575.06</v>
      </c>
      <c r="BH11" s="562">
        <v>4575.06</v>
      </c>
      <c r="BI11" s="563">
        <f t="shared" si="4"/>
        <v>1000</v>
      </c>
      <c r="BJ11" s="572">
        <f t="shared" si="9"/>
        <v>13696.512991386579</v>
      </c>
      <c r="BK11" s="364">
        <v>0</v>
      </c>
      <c r="BL11" s="471">
        <f t="shared" si="5"/>
        <v>4550.620000000001</v>
      </c>
      <c r="BM11" s="24">
        <f t="shared" si="8"/>
        <v>4550.620000000001</v>
      </c>
      <c r="BN11" s="574">
        <f t="shared" si="10"/>
        <v>5550.620000000001</v>
      </c>
      <c r="BO11" s="77">
        <f t="shared" si="11"/>
        <v>26902.132991386577</v>
      </c>
      <c r="BP11" s="549">
        <f t="shared" si="6"/>
        <v>95162.13299138658</v>
      </c>
      <c r="BQ11" s="149">
        <f t="shared" si="7"/>
        <v>75915</v>
      </c>
      <c r="BR11" s="87"/>
    </row>
    <row r="12" spans="1:70" s="5" customFormat="1" ht="20.25" customHeight="1" thickBot="1">
      <c r="A12" s="4">
        <v>8</v>
      </c>
      <c r="B12" s="125" t="s">
        <v>1</v>
      </c>
      <c r="C12" s="47">
        <v>3105146</v>
      </c>
      <c r="D12" s="47">
        <f>SUM(D5:D11)</f>
        <v>185273.01</v>
      </c>
      <c r="E12" s="47">
        <f>SUM(E5:E11)</f>
        <v>243687</v>
      </c>
      <c r="F12" s="47">
        <f>F5+F10</f>
        <v>4125.550000000003</v>
      </c>
      <c r="G12" s="47">
        <f>SUM(G5:G11)</f>
        <v>173459</v>
      </c>
      <c r="H12" s="47">
        <f>SUM(H5:H11)</f>
        <v>181276.47</v>
      </c>
      <c r="I12" s="47">
        <f>SUM(I5:I11)</f>
        <v>5312.620000000002</v>
      </c>
      <c r="J12" s="47">
        <f>SUM(J5:J11)</f>
        <v>188535.34</v>
      </c>
      <c r="K12" s="47">
        <f>SUM(K5:K11)</f>
        <v>234311</v>
      </c>
      <c r="L12" s="47">
        <f>L5+L10</f>
        <v>10.36486364988923</v>
      </c>
      <c r="M12" s="47">
        <f>SUM(M5:M11)</f>
        <v>170588</v>
      </c>
      <c r="N12" s="47">
        <f>SUM(N5:N11)</f>
        <v>181350.30000000002</v>
      </c>
      <c r="O12" s="47">
        <f>SUM(O5:O11)</f>
        <v>3103.8148636498895</v>
      </c>
      <c r="P12" s="47">
        <f>SUM(P5:P11)</f>
        <v>184483.17486364988</v>
      </c>
      <c r="Q12" s="47">
        <f>SUM(Q5:Q11)</f>
        <v>354154</v>
      </c>
      <c r="R12" s="47">
        <f>R5+R10</f>
        <v>5.871827562543331</v>
      </c>
      <c r="S12" s="47">
        <f>SUM(S5:S11)</f>
        <v>832152</v>
      </c>
      <c r="T12" s="335">
        <f>SUM(T5:T11)</f>
        <v>187096.62</v>
      </c>
      <c r="U12" s="335">
        <f>SUM(U5:U11)</f>
        <v>180368</v>
      </c>
      <c r="V12" s="335">
        <f>V5+V6</f>
        <v>13328.620000000003</v>
      </c>
      <c r="W12" s="347">
        <f aca="true" t="shared" si="12" ref="W12:AB12">SUM(W5:W11)</f>
        <v>119625.25</v>
      </c>
      <c r="X12" s="347">
        <f t="shared" si="12"/>
        <v>16524.921827562546</v>
      </c>
      <c r="Y12" s="347">
        <f t="shared" si="12"/>
        <v>1148042.8</v>
      </c>
      <c r="Z12" s="347">
        <f t="shared" si="12"/>
        <v>176022.34000000003</v>
      </c>
      <c r="AA12" s="347">
        <f t="shared" si="12"/>
        <v>204042.42182756256</v>
      </c>
      <c r="AB12" s="347">
        <f t="shared" si="12"/>
        <v>288551</v>
      </c>
      <c r="AC12" s="347">
        <f>AC5</f>
        <v>1</v>
      </c>
      <c r="AD12" s="381">
        <f>SUM(AD5:AD11)</f>
        <v>179840</v>
      </c>
      <c r="AE12" s="369">
        <f>SUM(AE5:AE11)</f>
        <v>269469</v>
      </c>
      <c r="AF12" s="369">
        <f>AF5</f>
        <v>4</v>
      </c>
      <c r="AG12" s="347">
        <f>SUM(AG5:AG11)</f>
        <v>738388</v>
      </c>
      <c r="AH12" s="347">
        <f>SUM(AH5:AH11)</f>
        <v>166000</v>
      </c>
      <c r="AI12" s="347">
        <f>SUM(AI5:AI11)</f>
        <v>221570</v>
      </c>
      <c r="AJ12" s="347">
        <f>AJ5</f>
        <v>7</v>
      </c>
      <c r="AK12" s="347">
        <f>SUM(AK5:AK11)</f>
        <v>177897</v>
      </c>
      <c r="AL12" s="347">
        <f>SUM(AL5:AL11)</f>
        <v>276372</v>
      </c>
      <c r="AM12" s="347">
        <f>AM5+AM10</f>
        <v>0</v>
      </c>
      <c r="AN12" s="347">
        <f>SUM(AN5:AN11)</f>
        <v>179050.37</v>
      </c>
      <c r="AO12" s="347">
        <f>SUM(AO5:AO11)</f>
        <v>293011</v>
      </c>
      <c r="AP12" s="406">
        <f>AP5+AP8+AP9+AP10</f>
        <v>15.369999999998981</v>
      </c>
      <c r="AQ12" s="369">
        <f aca="true" t="shared" si="13" ref="AQ12:AY12">SUM(AQ5:AQ11)</f>
        <v>790953</v>
      </c>
      <c r="AR12" s="349">
        <f t="shared" si="13"/>
        <v>164072.55555555556</v>
      </c>
      <c r="AS12" s="369">
        <f t="shared" si="13"/>
        <v>4342.37</v>
      </c>
      <c r="AT12" s="369">
        <f t="shared" si="13"/>
        <v>272526.88999999996</v>
      </c>
      <c r="AU12" s="381">
        <f t="shared" si="13"/>
        <v>178623</v>
      </c>
      <c r="AV12" s="472">
        <f t="shared" si="13"/>
        <v>37217</v>
      </c>
      <c r="AW12" s="472">
        <f t="shared" si="13"/>
        <v>213557.47</v>
      </c>
      <c r="AX12" s="512">
        <f t="shared" si="13"/>
        <v>169227.38999999998</v>
      </c>
      <c r="AY12" s="518">
        <f t="shared" si="13"/>
        <v>326071</v>
      </c>
      <c r="AZ12" s="475">
        <f>AZ5+AZ6</f>
        <v>11.081652859538735</v>
      </c>
      <c r="BA12" s="539">
        <f aca="true" t="shared" si="14" ref="BA12:BR12">SUM(BA5:BA11)</f>
        <v>213008.3</v>
      </c>
      <c r="BB12" s="475">
        <f t="shared" si="14"/>
        <v>3391.0816528595396</v>
      </c>
      <c r="BC12" s="513">
        <f t="shared" si="14"/>
        <v>79419.80275472003</v>
      </c>
      <c r="BD12" s="472">
        <f t="shared" si="14"/>
        <v>114092</v>
      </c>
      <c r="BE12" s="512">
        <f t="shared" si="14"/>
        <v>199974.76275472005</v>
      </c>
      <c r="BF12" s="512">
        <f t="shared" si="14"/>
        <v>203365.8444075796</v>
      </c>
      <c r="BG12" s="512">
        <f aca="true" t="shared" si="15" ref="BG12:BO12">SUM(BG5:BG11)</f>
        <v>99999.99999999999</v>
      </c>
      <c r="BH12" s="567">
        <f t="shared" si="15"/>
        <v>51381.123999999996</v>
      </c>
      <c r="BI12" s="475">
        <f t="shared" si="15"/>
        <v>48618.876</v>
      </c>
      <c r="BJ12" s="475">
        <f t="shared" si="15"/>
        <v>254746.96840757958</v>
      </c>
      <c r="BK12" s="512">
        <f t="shared" si="15"/>
        <v>0.0030900000165274832</v>
      </c>
      <c r="BL12" s="512">
        <f t="shared" si="15"/>
        <v>121217.89000000001</v>
      </c>
      <c r="BM12" s="512">
        <f t="shared" si="15"/>
        <v>163427.38309</v>
      </c>
      <c r="BN12" s="512">
        <f t="shared" si="15"/>
        <v>212046.25909000004</v>
      </c>
      <c r="BO12" s="512">
        <f t="shared" si="15"/>
        <v>792864.2274975796</v>
      </c>
      <c r="BP12" s="551">
        <f t="shared" si="14"/>
        <v>3154357.2274975795</v>
      </c>
      <c r="BQ12" s="551">
        <f t="shared" si="14"/>
        <v>2687564</v>
      </c>
      <c r="BR12" s="47">
        <f t="shared" si="14"/>
        <v>0</v>
      </c>
    </row>
    <row r="13" spans="1:70" s="5" customFormat="1" ht="22.5" customHeight="1">
      <c r="A13" s="4">
        <v>9</v>
      </c>
      <c r="B13" s="56" t="s">
        <v>21</v>
      </c>
      <c r="C13" s="149">
        <v>15360</v>
      </c>
      <c r="D13" s="24">
        <v>1272.07</v>
      </c>
      <c r="E13" s="101">
        <v>1260</v>
      </c>
      <c r="F13" s="32">
        <f aca="true" t="shared" si="16" ref="F13:F20">D13-E13</f>
        <v>12.069999999999936</v>
      </c>
      <c r="G13" s="32"/>
      <c r="H13" s="24">
        <v>1268.31</v>
      </c>
      <c r="I13" s="23"/>
      <c r="J13" s="181">
        <f aca="true" t="shared" si="17" ref="J13:J20">H13+I13</f>
        <v>1268.31</v>
      </c>
      <c r="K13" s="45">
        <v>1260</v>
      </c>
      <c r="L13" s="32">
        <f aca="true" t="shared" si="18" ref="L13:L20">J13-K13</f>
        <v>8.309999999999945</v>
      </c>
      <c r="M13" s="32"/>
      <c r="N13" s="33">
        <v>1268.31</v>
      </c>
      <c r="O13" s="32"/>
      <c r="P13" s="298">
        <f aca="true" t="shared" si="19" ref="P13:P20">N13+O13</f>
        <v>1268.31</v>
      </c>
      <c r="Q13" s="45">
        <v>1260</v>
      </c>
      <c r="R13" s="32">
        <f aca="true" t="shared" si="20" ref="R13:R20">P13-Q13</f>
        <v>8.309999999999945</v>
      </c>
      <c r="S13" s="77">
        <f aca="true" t="shared" si="21" ref="S13:S20">E13+K13+Q13</f>
        <v>3780</v>
      </c>
      <c r="T13" s="315">
        <v>1281.12</v>
      </c>
      <c r="U13" s="337">
        <v>1260</v>
      </c>
      <c r="V13" s="315">
        <f aca="true" t="shared" si="22" ref="V13:V20">T13-U13</f>
        <v>21.11999999999989</v>
      </c>
      <c r="W13" s="265">
        <v>0</v>
      </c>
      <c r="X13" s="315"/>
      <c r="Y13" s="341">
        <v>8301.85</v>
      </c>
      <c r="Z13" s="83">
        <v>960</v>
      </c>
      <c r="AA13" s="393">
        <f aca="true" t="shared" si="23" ref="AA13:AA20">X13+Z13</f>
        <v>960</v>
      </c>
      <c r="AB13" s="396">
        <v>960</v>
      </c>
      <c r="AC13" s="395">
        <f aca="true" t="shared" si="24" ref="AC13:AC20">AA13-AB13</f>
        <v>0</v>
      </c>
      <c r="AD13" s="364">
        <v>960</v>
      </c>
      <c r="AE13" s="79">
        <v>960</v>
      </c>
      <c r="AF13" s="364">
        <f aca="true" t="shared" si="25" ref="AF13:AF20">AD13-AE13</f>
        <v>0</v>
      </c>
      <c r="AG13" s="77">
        <f aca="true" t="shared" si="26" ref="AG13:AG20">U13+AB13+AE13</f>
        <v>3180</v>
      </c>
      <c r="AH13" s="83">
        <v>1200</v>
      </c>
      <c r="AI13" s="79">
        <v>1200</v>
      </c>
      <c r="AJ13" s="83">
        <f aca="true" t="shared" si="27" ref="AJ13:AJ20">AH13-AI13</f>
        <v>0</v>
      </c>
      <c r="AK13" s="83">
        <v>1200</v>
      </c>
      <c r="AL13" s="428">
        <v>1200</v>
      </c>
      <c r="AM13" s="425">
        <f aca="true" t="shared" si="28" ref="AM13:AM20">AK13-AL13</f>
        <v>0</v>
      </c>
      <c r="AN13" s="24">
        <v>1200</v>
      </c>
      <c r="AO13" s="79">
        <v>1200</v>
      </c>
      <c r="AP13" s="485">
        <f aca="true" t="shared" si="29" ref="AP13:AP20">AN13-AO13</f>
        <v>0</v>
      </c>
      <c r="AQ13" s="77">
        <f aca="true" t="shared" si="30" ref="AQ13:AQ20">AI13+AL13+AO13</f>
        <v>3600</v>
      </c>
      <c r="AR13" s="495"/>
      <c r="AS13" s="265"/>
      <c r="AT13" s="341">
        <v>1524.54</v>
      </c>
      <c r="AU13" s="364">
        <v>1200</v>
      </c>
      <c r="AV13" s="471">
        <v>300</v>
      </c>
      <c r="AW13" s="463">
        <f aca="true" t="shared" si="31" ref="AW13:AW20">AU13+AV13</f>
        <v>1500</v>
      </c>
      <c r="AX13" s="364">
        <f aca="true" t="shared" si="32" ref="AX13:AX20">AS13+AW13</f>
        <v>1500</v>
      </c>
      <c r="AY13" s="526">
        <v>1500</v>
      </c>
      <c r="AZ13" s="345">
        <f aca="true" t="shared" si="33" ref="AZ13:AZ20">AX13-AY13</f>
        <v>0</v>
      </c>
      <c r="BA13" s="480"/>
      <c r="BB13" s="345"/>
      <c r="BC13" s="364">
        <v>1200</v>
      </c>
      <c r="BD13" s="471">
        <v>300</v>
      </c>
      <c r="BE13" s="24">
        <f aca="true" t="shared" si="34" ref="BE13:BE20">BC13+BD13</f>
        <v>1500</v>
      </c>
      <c r="BF13" s="24">
        <f aca="true" t="shared" si="35" ref="BF13:BF20">BB13+BE13</f>
        <v>1500</v>
      </c>
      <c r="BG13" s="562"/>
      <c r="BH13" s="399"/>
      <c r="BI13" s="399"/>
      <c r="BJ13" s="575">
        <f t="shared" si="9"/>
        <v>1500</v>
      </c>
      <c r="BK13" s="364">
        <v>381.85488027999963</v>
      </c>
      <c r="BL13" s="471">
        <f aca="true" t="shared" si="36" ref="BL13:BL20">AT13-AV13-BD13</f>
        <v>924.54</v>
      </c>
      <c r="BM13" s="24">
        <f aca="true" t="shared" si="37" ref="BM13:BM20">BK13+BL13</f>
        <v>1306.3948802799996</v>
      </c>
      <c r="BN13" s="536">
        <f t="shared" si="10"/>
        <v>1306.3948802799996</v>
      </c>
      <c r="BO13" s="77">
        <f t="shared" si="11"/>
        <v>4306.39488028</v>
      </c>
      <c r="BP13" s="550">
        <f aca="true" t="shared" si="38" ref="BP13:BP20">S13+AG13+AQ13+BO13</f>
        <v>14866.39488028</v>
      </c>
      <c r="BQ13" s="149">
        <f aca="true" t="shared" si="39" ref="BQ13:BQ20">S13+AG13+AQ13+AY13</f>
        <v>12060</v>
      </c>
      <c r="BR13" s="87"/>
    </row>
    <row r="14" spans="1:70" s="27" customFormat="1" ht="21" customHeight="1">
      <c r="A14" s="4">
        <v>10</v>
      </c>
      <c r="B14" s="56" t="s">
        <v>22</v>
      </c>
      <c r="C14" s="149">
        <v>8160</v>
      </c>
      <c r="D14" s="24">
        <v>723.31</v>
      </c>
      <c r="E14" s="101">
        <v>720</v>
      </c>
      <c r="F14" s="32">
        <f t="shared" si="16"/>
        <v>3.3099999999999454</v>
      </c>
      <c r="G14" s="32"/>
      <c r="H14" s="24">
        <v>721.18</v>
      </c>
      <c r="I14" s="23"/>
      <c r="J14" s="181">
        <f t="shared" si="17"/>
        <v>721.18</v>
      </c>
      <c r="K14" s="45">
        <v>720</v>
      </c>
      <c r="L14" s="32">
        <f t="shared" si="18"/>
        <v>1.17999999999995</v>
      </c>
      <c r="M14" s="32"/>
      <c r="N14" s="33">
        <v>721.18</v>
      </c>
      <c r="O14" s="32"/>
      <c r="P14" s="298">
        <f t="shared" si="19"/>
        <v>721.18</v>
      </c>
      <c r="Q14" s="45">
        <v>720</v>
      </c>
      <c r="R14" s="32">
        <f t="shared" si="20"/>
        <v>1.17999999999995</v>
      </c>
      <c r="S14" s="77">
        <f t="shared" si="21"/>
        <v>2160</v>
      </c>
      <c r="T14" s="315">
        <v>728.46</v>
      </c>
      <c r="U14" s="337">
        <v>480</v>
      </c>
      <c r="V14" s="315">
        <f t="shared" si="22"/>
        <v>248.46000000000004</v>
      </c>
      <c r="W14" s="265">
        <v>0</v>
      </c>
      <c r="X14" s="315"/>
      <c r="Y14" s="341">
        <v>4720.54</v>
      </c>
      <c r="Z14" s="83">
        <v>660</v>
      </c>
      <c r="AA14" s="393">
        <f t="shared" si="23"/>
        <v>660</v>
      </c>
      <c r="AB14" s="396">
        <v>660</v>
      </c>
      <c r="AC14" s="395">
        <f t="shared" si="24"/>
        <v>0</v>
      </c>
      <c r="AD14" s="364">
        <v>660</v>
      </c>
      <c r="AE14" s="79">
        <v>660</v>
      </c>
      <c r="AF14" s="364">
        <f t="shared" si="25"/>
        <v>0</v>
      </c>
      <c r="AG14" s="77">
        <f t="shared" si="26"/>
        <v>1800</v>
      </c>
      <c r="AH14" s="83">
        <v>660</v>
      </c>
      <c r="AI14" s="79">
        <v>420</v>
      </c>
      <c r="AJ14" s="83">
        <f t="shared" si="27"/>
        <v>240</v>
      </c>
      <c r="AK14" s="83">
        <v>660</v>
      </c>
      <c r="AL14" s="428">
        <v>660</v>
      </c>
      <c r="AM14" s="425">
        <f t="shared" si="28"/>
        <v>0</v>
      </c>
      <c r="AN14" s="24">
        <v>660</v>
      </c>
      <c r="AO14" s="79">
        <v>660</v>
      </c>
      <c r="AP14" s="87">
        <f t="shared" si="29"/>
        <v>0</v>
      </c>
      <c r="AQ14" s="77">
        <f t="shared" si="30"/>
        <v>1740</v>
      </c>
      <c r="AR14" s="315"/>
      <c r="AS14" s="265"/>
      <c r="AT14" s="341">
        <v>866.87</v>
      </c>
      <c r="AU14" s="364">
        <v>660</v>
      </c>
      <c r="AV14" s="471">
        <v>240</v>
      </c>
      <c r="AW14" s="463">
        <f t="shared" si="31"/>
        <v>900</v>
      </c>
      <c r="AX14" s="364">
        <f t="shared" si="32"/>
        <v>900</v>
      </c>
      <c r="AY14" s="526">
        <v>900</v>
      </c>
      <c r="AZ14" s="83">
        <f t="shared" si="33"/>
        <v>0</v>
      </c>
      <c r="BA14" s="24"/>
      <c r="BB14" s="83"/>
      <c r="BC14" s="364">
        <v>660</v>
      </c>
      <c r="BD14" s="471">
        <v>240</v>
      </c>
      <c r="BE14" s="24">
        <f t="shared" si="34"/>
        <v>900</v>
      </c>
      <c r="BF14" s="24">
        <f t="shared" si="35"/>
        <v>900</v>
      </c>
      <c r="BG14" s="562"/>
      <c r="BH14" s="395"/>
      <c r="BI14" s="395"/>
      <c r="BJ14" s="575">
        <f t="shared" si="9"/>
        <v>900</v>
      </c>
      <c r="BK14" s="364">
        <v>100.53673324000101</v>
      </c>
      <c r="BL14" s="471">
        <f t="shared" si="36"/>
        <v>386.87</v>
      </c>
      <c r="BM14" s="24">
        <f t="shared" si="37"/>
        <v>487.406733240001</v>
      </c>
      <c r="BN14" s="536">
        <f t="shared" si="10"/>
        <v>487.406733240001</v>
      </c>
      <c r="BO14" s="77">
        <f t="shared" si="11"/>
        <v>2287.406733240001</v>
      </c>
      <c r="BP14" s="544">
        <f t="shared" si="38"/>
        <v>7987.406733240001</v>
      </c>
      <c r="BQ14" s="149">
        <f t="shared" si="39"/>
        <v>6600</v>
      </c>
      <c r="BR14" s="87"/>
    </row>
    <row r="15" spans="1:70" s="27" customFormat="1" ht="22.5" customHeight="1">
      <c r="A15" s="4">
        <v>11</v>
      </c>
      <c r="B15" s="56" t="s">
        <v>17</v>
      </c>
      <c r="C15" s="149">
        <v>10140</v>
      </c>
      <c r="D15" s="24">
        <v>897.38</v>
      </c>
      <c r="E15" s="101">
        <v>840</v>
      </c>
      <c r="F15" s="32">
        <f t="shared" si="16"/>
        <v>57.379999999999995</v>
      </c>
      <c r="G15" s="32"/>
      <c r="H15" s="24">
        <v>894.73</v>
      </c>
      <c r="I15" s="23"/>
      <c r="J15" s="181">
        <f t="shared" si="17"/>
        <v>894.73</v>
      </c>
      <c r="K15" s="45">
        <v>840</v>
      </c>
      <c r="L15" s="32">
        <f t="shared" si="18"/>
        <v>54.73000000000002</v>
      </c>
      <c r="M15" s="32"/>
      <c r="N15" s="33">
        <v>894.73</v>
      </c>
      <c r="O15" s="32"/>
      <c r="P15" s="298">
        <f t="shared" si="19"/>
        <v>894.73</v>
      </c>
      <c r="Q15" s="45">
        <v>840</v>
      </c>
      <c r="R15" s="32">
        <f t="shared" si="20"/>
        <v>54.73000000000002</v>
      </c>
      <c r="S15" s="77">
        <f t="shared" si="21"/>
        <v>2520</v>
      </c>
      <c r="T15" s="315">
        <v>903.77</v>
      </c>
      <c r="U15" s="337">
        <v>900</v>
      </c>
      <c r="V15" s="315">
        <f t="shared" si="22"/>
        <v>3.769999999999982</v>
      </c>
      <c r="W15" s="265">
        <v>0</v>
      </c>
      <c r="X15" s="315"/>
      <c r="Y15" s="341">
        <v>5856.55</v>
      </c>
      <c r="Z15" s="83">
        <v>780</v>
      </c>
      <c r="AA15" s="393">
        <f t="shared" si="23"/>
        <v>780</v>
      </c>
      <c r="AB15" s="396">
        <v>780</v>
      </c>
      <c r="AC15" s="395">
        <f t="shared" si="24"/>
        <v>0</v>
      </c>
      <c r="AD15" s="364">
        <v>780</v>
      </c>
      <c r="AE15" s="79">
        <v>780</v>
      </c>
      <c r="AF15" s="364">
        <f t="shared" si="25"/>
        <v>0</v>
      </c>
      <c r="AG15" s="77">
        <f t="shared" si="26"/>
        <v>2460</v>
      </c>
      <c r="AH15" s="83">
        <v>780</v>
      </c>
      <c r="AI15" s="79">
        <v>780</v>
      </c>
      <c r="AJ15" s="83">
        <f t="shared" si="27"/>
        <v>0</v>
      </c>
      <c r="AK15" s="83">
        <v>780</v>
      </c>
      <c r="AL15" s="428">
        <v>720</v>
      </c>
      <c r="AM15" s="425">
        <f t="shared" si="28"/>
        <v>60</v>
      </c>
      <c r="AN15" s="24">
        <v>780</v>
      </c>
      <c r="AO15" s="79">
        <v>780</v>
      </c>
      <c r="AP15" s="87">
        <f t="shared" si="29"/>
        <v>0</v>
      </c>
      <c r="AQ15" s="77">
        <f t="shared" si="30"/>
        <v>2280</v>
      </c>
      <c r="AR15" s="315"/>
      <c r="AS15" s="265"/>
      <c r="AT15" s="341">
        <v>1075.49</v>
      </c>
      <c r="AU15" s="364">
        <v>780</v>
      </c>
      <c r="AV15" s="471">
        <v>420</v>
      </c>
      <c r="AW15" s="463">
        <f t="shared" si="31"/>
        <v>1200</v>
      </c>
      <c r="AX15" s="364">
        <f t="shared" si="32"/>
        <v>1200</v>
      </c>
      <c r="AY15" s="526">
        <v>1200</v>
      </c>
      <c r="AZ15" s="83">
        <f t="shared" si="33"/>
        <v>0</v>
      </c>
      <c r="BA15" s="24"/>
      <c r="BB15" s="83"/>
      <c r="BC15" s="364">
        <v>780</v>
      </c>
      <c r="BD15" s="471">
        <v>420</v>
      </c>
      <c r="BE15" s="24">
        <f t="shared" si="34"/>
        <v>1200</v>
      </c>
      <c r="BF15" s="24">
        <f t="shared" si="35"/>
        <v>1200</v>
      </c>
      <c r="BG15" s="562"/>
      <c r="BH15" s="395"/>
      <c r="BI15" s="395"/>
      <c r="BJ15" s="575">
        <f t="shared" si="9"/>
        <v>1200</v>
      </c>
      <c r="BK15" s="364">
        <v>396.54625300000043</v>
      </c>
      <c r="BL15" s="471">
        <f t="shared" si="36"/>
        <v>235.49</v>
      </c>
      <c r="BM15" s="24">
        <f t="shared" si="37"/>
        <v>632.0362530000004</v>
      </c>
      <c r="BN15" s="536">
        <f t="shared" si="10"/>
        <v>632.0362530000004</v>
      </c>
      <c r="BO15" s="77">
        <f t="shared" si="11"/>
        <v>3032.036253</v>
      </c>
      <c r="BP15" s="544">
        <f t="shared" si="38"/>
        <v>10292.036253</v>
      </c>
      <c r="BQ15" s="149">
        <f t="shared" si="39"/>
        <v>8460</v>
      </c>
      <c r="BR15" s="87"/>
    </row>
    <row r="16" spans="1:70" s="27" customFormat="1" ht="22.5" customHeight="1">
      <c r="A16" s="4">
        <v>12</v>
      </c>
      <c r="B16" s="56" t="s">
        <v>20</v>
      </c>
      <c r="C16" s="149">
        <v>8220</v>
      </c>
      <c r="D16" s="24">
        <v>730.2</v>
      </c>
      <c r="E16" s="101">
        <v>660</v>
      </c>
      <c r="F16" s="32">
        <f t="shared" si="16"/>
        <v>70.20000000000005</v>
      </c>
      <c r="G16" s="32"/>
      <c r="H16" s="24">
        <v>728.04</v>
      </c>
      <c r="I16" s="23"/>
      <c r="J16" s="181">
        <f t="shared" si="17"/>
        <v>728.04</v>
      </c>
      <c r="K16" s="45">
        <v>720</v>
      </c>
      <c r="L16" s="32">
        <f t="shared" si="18"/>
        <v>8.039999999999964</v>
      </c>
      <c r="M16" s="32"/>
      <c r="N16" s="33">
        <v>728.04</v>
      </c>
      <c r="O16" s="32"/>
      <c r="P16" s="298">
        <f t="shared" si="19"/>
        <v>728.04</v>
      </c>
      <c r="Q16" s="45">
        <v>660</v>
      </c>
      <c r="R16" s="32">
        <f t="shared" si="20"/>
        <v>68.03999999999996</v>
      </c>
      <c r="S16" s="77">
        <f t="shared" si="21"/>
        <v>2040</v>
      </c>
      <c r="T16" s="315">
        <v>735.39</v>
      </c>
      <c r="U16" s="337">
        <v>180</v>
      </c>
      <c r="V16" s="315">
        <f t="shared" si="22"/>
        <v>555.39</v>
      </c>
      <c r="W16" s="265">
        <v>0</v>
      </c>
      <c r="X16" s="315"/>
      <c r="Y16" s="341">
        <v>4765.46</v>
      </c>
      <c r="Z16" s="83">
        <v>660</v>
      </c>
      <c r="AA16" s="393">
        <f t="shared" si="23"/>
        <v>660</v>
      </c>
      <c r="AB16" s="396">
        <v>660</v>
      </c>
      <c r="AC16" s="395">
        <f t="shared" si="24"/>
        <v>0</v>
      </c>
      <c r="AD16" s="364">
        <v>660</v>
      </c>
      <c r="AE16" s="79">
        <v>660</v>
      </c>
      <c r="AF16" s="364">
        <f t="shared" si="25"/>
        <v>0</v>
      </c>
      <c r="AG16" s="77">
        <f t="shared" si="26"/>
        <v>1500</v>
      </c>
      <c r="AH16" s="83">
        <v>660</v>
      </c>
      <c r="AI16" s="79">
        <v>660</v>
      </c>
      <c r="AJ16" s="83">
        <f t="shared" si="27"/>
        <v>0</v>
      </c>
      <c r="AK16" s="83">
        <v>660</v>
      </c>
      <c r="AL16" s="428">
        <v>660</v>
      </c>
      <c r="AM16" s="425">
        <f t="shared" si="28"/>
        <v>0</v>
      </c>
      <c r="AN16" s="24">
        <v>660</v>
      </c>
      <c r="AO16" s="79">
        <v>600</v>
      </c>
      <c r="AP16" s="87">
        <f t="shared" si="29"/>
        <v>60</v>
      </c>
      <c r="AQ16" s="77">
        <f t="shared" si="30"/>
        <v>1920</v>
      </c>
      <c r="AR16" s="315"/>
      <c r="AS16" s="265"/>
      <c r="AT16" s="341">
        <v>875.12</v>
      </c>
      <c r="AU16" s="364">
        <v>660</v>
      </c>
      <c r="AV16" s="471">
        <v>240</v>
      </c>
      <c r="AW16" s="463">
        <f t="shared" si="31"/>
        <v>900</v>
      </c>
      <c r="AX16" s="364">
        <f t="shared" si="32"/>
        <v>900</v>
      </c>
      <c r="AY16" s="526">
        <v>900</v>
      </c>
      <c r="AZ16" s="83">
        <f t="shared" si="33"/>
        <v>0</v>
      </c>
      <c r="BA16" s="24"/>
      <c r="BB16" s="83"/>
      <c r="BC16" s="364">
        <v>660</v>
      </c>
      <c r="BD16" s="471">
        <v>240</v>
      </c>
      <c r="BE16" s="24">
        <f t="shared" si="34"/>
        <v>900</v>
      </c>
      <c r="BF16" s="24">
        <f t="shared" si="35"/>
        <v>900</v>
      </c>
      <c r="BG16" s="562"/>
      <c r="BH16" s="395"/>
      <c r="BI16" s="395"/>
      <c r="BJ16" s="575">
        <f t="shared" si="9"/>
        <v>900</v>
      </c>
      <c r="BK16" s="364">
        <v>145.46366339999986</v>
      </c>
      <c r="BL16" s="471">
        <f t="shared" si="36"/>
        <v>395.12</v>
      </c>
      <c r="BM16" s="24">
        <f t="shared" si="37"/>
        <v>540.5836633999999</v>
      </c>
      <c r="BN16" s="536">
        <f t="shared" si="10"/>
        <v>540.5836633999999</v>
      </c>
      <c r="BO16" s="77">
        <f t="shared" si="11"/>
        <v>2340.5836633999998</v>
      </c>
      <c r="BP16" s="544">
        <f t="shared" si="38"/>
        <v>7800.5836634</v>
      </c>
      <c r="BQ16" s="149">
        <f t="shared" si="39"/>
        <v>6360</v>
      </c>
      <c r="BR16" s="87"/>
    </row>
    <row r="17" spans="1:70" s="5" customFormat="1" ht="23.25" customHeight="1">
      <c r="A17" s="4">
        <v>13</v>
      </c>
      <c r="B17" s="56" t="s">
        <v>23</v>
      </c>
      <c r="C17" s="149">
        <v>32145</v>
      </c>
      <c r="D17" s="24">
        <v>2655.27</v>
      </c>
      <c r="E17" s="101">
        <v>2655</v>
      </c>
      <c r="F17" s="32">
        <f t="shared" si="16"/>
        <v>0.2699999999999818</v>
      </c>
      <c r="G17" s="32"/>
      <c r="H17" s="24">
        <v>2647.42</v>
      </c>
      <c r="I17" s="24"/>
      <c r="J17" s="181">
        <f t="shared" si="17"/>
        <v>2647.42</v>
      </c>
      <c r="K17" s="74">
        <v>2640</v>
      </c>
      <c r="L17" s="32">
        <f t="shared" si="18"/>
        <v>7.420000000000073</v>
      </c>
      <c r="M17" s="32"/>
      <c r="N17" s="33">
        <v>2647.42</v>
      </c>
      <c r="O17" s="32"/>
      <c r="P17" s="298">
        <f t="shared" si="19"/>
        <v>2647.42</v>
      </c>
      <c r="Q17" s="45">
        <v>2640</v>
      </c>
      <c r="R17" s="32">
        <f t="shared" si="20"/>
        <v>7.420000000000073</v>
      </c>
      <c r="S17" s="77">
        <f t="shared" si="21"/>
        <v>7935</v>
      </c>
      <c r="T17" s="315">
        <v>2674.16</v>
      </c>
      <c r="U17" s="337">
        <v>2670</v>
      </c>
      <c r="V17" s="315">
        <f t="shared" si="22"/>
        <v>4.1599999999998545</v>
      </c>
      <c r="W17" s="265">
        <v>0</v>
      </c>
      <c r="X17" s="315"/>
      <c r="Y17" s="341">
        <v>17328.96</v>
      </c>
      <c r="Z17" s="83">
        <v>2400</v>
      </c>
      <c r="AA17" s="393">
        <f t="shared" si="23"/>
        <v>2400</v>
      </c>
      <c r="AB17" s="396">
        <v>2400</v>
      </c>
      <c r="AC17" s="395">
        <f t="shared" si="24"/>
        <v>0</v>
      </c>
      <c r="AD17" s="364">
        <v>2400</v>
      </c>
      <c r="AE17" s="79">
        <v>2400</v>
      </c>
      <c r="AF17" s="364">
        <f t="shared" si="25"/>
        <v>0</v>
      </c>
      <c r="AG17" s="77">
        <f t="shared" si="26"/>
        <v>7470</v>
      </c>
      <c r="AH17" s="83">
        <v>2400</v>
      </c>
      <c r="AI17" s="79">
        <v>2400</v>
      </c>
      <c r="AJ17" s="83">
        <f t="shared" si="27"/>
        <v>0</v>
      </c>
      <c r="AK17" s="83">
        <v>2400</v>
      </c>
      <c r="AL17" s="428">
        <v>2400</v>
      </c>
      <c r="AM17" s="425">
        <f t="shared" si="28"/>
        <v>0</v>
      </c>
      <c r="AN17" s="24">
        <v>2400</v>
      </c>
      <c r="AO17" s="79">
        <v>2400</v>
      </c>
      <c r="AP17" s="87">
        <f t="shared" si="29"/>
        <v>0</v>
      </c>
      <c r="AQ17" s="77">
        <f t="shared" si="30"/>
        <v>7200</v>
      </c>
      <c r="AR17" s="315"/>
      <c r="AS17" s="265"/>
      <c r="AT17" s="341">
        <v>3182.26</v>
      </c>
      <c r="AU17" s="364">
        <v>2400</v>
      </c>
      <c r="AV17" s="471">
        <v>525</v>
      </c>
      <c r="AW17" s="463">
        <f t="shared" si="31"/>
        <v>2925</v>
      </c>
      <c r="AX17" s="364">
        <f t="shared" si="32"/>
        <v>2925</v>
      </c>
      <c r="AY17" s="526">
        <v>2850</v>
      </c>
      <c r="AZ17" s="83">
        <f t="shared" si="33"/>
        <v>75</v>
      </c>
      <c r="BA17" s="24"/>
      <c r="BB17" s="83"/>
      <c r="BC17" s="364">
        <v>2400</v>
      </c>
      <c r="BD17" s="471">
        <v>525</v>
      </c>
      <c r="BE17" s="24">
        <f t="shared" si="34"/>
        <v>2925</v>
      </c>
      <c r="BF17" s="24">
        <f t="shared" si="35"/>
        <v>2925</v>
      </c>
      <c r="BG17" s="562"/>
      <c r="BH17" s="395"/>
      <c r="BI17" s="395"/>
      <c r="BJ17" s="575">
        <f t="shared" si="9"/>
        <v>2925</v>
      </c>
      <c r="BK17" s="364">
        <v>528.9587760000031</v>
      </c>
      <c r="BL17" s="471">
        <f t="shared" si="36"/>
        <v>2132.26</v>
      </c>
      <c r="BM17" s="24">
        <f t="shared" si="37"/>
        <v>2661.2187760000033</v>
      </c>
      <c r="BN17" s="536">
        <f t="shared" si="10"/>
        <v>2661.2187760000033</v>
      </c>
      <c r="BO17" s="77">
        <f t="shared" si="11"/>
        <v>8436.218776000003</v>
      </c>
      <c r="BP17" s="544">
        <f t="shared" si="38"/>
        <v>31041.218776</v>
      </c>
      <c r="BQ17" s="149">
        <f t="shared" si="39"/>
        <v>25455</v>
      </c>
      <c r="BR17" s="87"/>
    </row>
    <row r="18" spans="1:70" s="27" customFormat="1" ht="22.5" customHeight="1">
      <c r="A18" s="4">
        <v>14</v>
      </c>
      <c r="B18" s="56" t="s">
        <v>14</v>
      </c>
      <c r="C18" s="149">
        <v>25740</v>
      </c>
      <c r="D18" s="24">
        <v>2311.07</v>
      </c>
      <c r="E18" s="101">
        <v>2280</v>
      </c>
      <c r="F18" s="32">
        <f t="shared" si="16"/>
        <v>31.070000000000164</v>
      </c>
      <c r="G18" s="32"/>
      <c r="H18" s="24">
        <v>2304.23</v>
      </c>
      <c r="I18" s="23"/>
      <c r="J18" s="181">
        <f t="shared" si="17"/>
        <v>2304.23</v>
      </c>
      <c r="K18" s="45">
        <v>0</v>
      </c>
      <c r="L18" s="32">
        <f t="shared" si="18"/>
        <v>2304.23</v>
      </c>
      <c r="M18" s="32"/>
      <c r="N18" s="33">
        <v>2304.23</v>
      </c>
      <c r="O18" s="32"/>
      <c r="P18" s="298">
        <f t="shared" si="19"/>
        <v>2304.23</v>
      </c>
      <c r="Q18" s="45">
        <v>2280</v>
      </c>
      <c r="R18" s="32">
        <f t="shared" si="20"/>
        <v>24.230000000000018</v>
      </c>
      <c r="S18" s="77">
        <f t="shared" si="21"/>
        <v>4560</v>
      </c>
      <c r="T18" s="315">
        <v>2327.51</v>
      </c>
      <c r="U18" s="337">
        <v>1940</v>
      </c>
      <c r="V18" s="315">
        <f t="shared" si="22"/>
        <v>387.5100000000002</v>
      </c>
      <c r="W18" s="265">
        <v>0</v>
      </c>
      <c r="X18" s="315"/>
      <c r="Y18" s="341">
        <v>15082.61</v>
      </c>
      <c r="Z18" s="83">
        <v>2220</v>
      </c>
      <c r="AA18" s="393">
        <f t="shared" si="23"/>
        <v>2220</v>
      </c>
      <c r="AB18" s="396">
        <v>2160</v>
      </c>
      <c r="AC18" s="395">
        <f t="shared" si="24"/>
        <v>60</v>
      </c>
      <c r="AD18" s="364">
        <v>2220</v>
      </c>
      <c r="AE18" s="79">
        <v>2180</v>
      </c>
      <c r="AF18" s="364">
        <f t="shared" si="25"/>
        <v>40</v>
      </c>
      <c r="AG18" s="77">
        <f t="shared" si="26"/>
        <v>6280</v>
      </c>
      <c r="AH18" s="83">
        <v>2220</v>
      </c>
      <c r="AI18" s="79">
        <v>2220</v>
      </c>
      <c r="AJ18" s="83">
        <f t="shared" si="27"/>
        <v>0</v>
      </c>
      <c r="AK18" s="83">
        <v>2220</v>
      </c>
      <c r="AL18" s="428">
        <v>2180</v>
      </c>
      <c r="AM18" s="425">
        <f t="shared" si="28"/>
        <v>40</v>
      </c>
      <c r="AN18" s="24">
        <v>2220</v>
      </c>
      <c r="AO18" s="79">
        <v>1340</v>
      </c>
      <c r="AP18" s="87">
        <f t="shared" si="29"/>
        <v>880</v>
      </c>
      <c r="AQ18" s="77">
        <f t="shared" si="30"/>
        <v>5740</v>
      </c>
      <c r="AR18" s="315"/>
      <c r="AS18" s="265"/>
      <c r="AT18" s="341">
        <v>2769.74</v>
      </c>
      <c r="AU18" s="364">
        <v>2220</v>
      </c>
      <c r="AV18" s="471">
        <v>380</v>
      </c>
      <c r="AW18" s="463">
        <f t="shared" si="31"/>
        <v>2600</v>
      </c>
      <c r="AX18" s="364">
        <f t="shared" si="32"/>
        <v>2600</v>
      </c>
      <c r="AY18" s="526">
        <v>2560</v>
      </c>
      <c r="AZ18" s="83">
        <f t="shared" si="33"/>
        <v>40</v>
      </c>
      <c r="BA18" s="24"/>
      <c r="BB18" s="83"/>
      <c r="BC18" s="364">
        <v>1762.6122680000008</v>
      </c>
      <c r="BD18" s="471">
        <v>838</v>
      </c>
      <c r="BE18" s="24">
        <f t="shared" si="34"/>
        <v>2600.6122680000008</v>
      </c>
      <c r="BF18" s="24">
        <f t="shared" si="35"/>
        <v>2600.6122680000008</v>
      </c>
      <c r="BG18" s="562"/>
      <c r="BH18" s="395"/>
      <c r="BI18" s="395"/>
      <c r="BJ18" s="575">
        <f t="shared" si="9"/>
        <v>2600.6122680000008</v>
      </c>
      <c r="BK18" s="364">
        <v>0</v>
      </c>
      <c r="BL18" s="471">
        <f t="shared" si="36"/>
        <v>1551.7399999999998</v>
      </c>
      <c r="BM18" s="24">
        <f t="shared" si="37"/>
        <v>1551.7399999999998</v>
      </c>
      <c r="BN18" s="536">
        <f t="shared" si="10"/>
        <v>1551.7399999999998</v>
      </c>
      <c r="BO18" s="77">
        <f t="shared" si="11"/>
        <v>6712.352268000001</v>
      </c>
      <c r="BP18" s="544">
        <f t="shared" si="38"/>
        <v>23292.352268000002</v>
      </c>
      <c r="BQ18" s="149">
        <f t="shared" si="39"/>
        <v>19140</v>
      </c>
      <c r="BR18" s="87"/>
    </row>
    <row r="19" spans="1:70" s="5" customFormat="1" ht="22.5" customHeight="1">
      <c r="A19" s="4">
        <v>15</v>
      </c>
      <c r="B19" s="56" t="s">
        <v>24</v>
      </c>
      <c r="C19" s="149">
        <v>6000</v>
      </c>
      <c r="D19" s="24">
        <v>1425.98</v>
      </c>
      <c r="E19" s="101">
        <v>420</v>
      </c>
      <c r="F19" s="32">
        <f t="shared" si="16"/>
        <v>1005.98</v>
      </c>
      <c r="G19" s="32"/>
      <c r="H19" s="24">
        <v>1421.76</v>
      </c>
      <c r="I19" s="23"/>
      <c r="J19" s="181">
        <f t="shared" si="17"/>
        <v>1421.76</v>
      </c>
      <c r="K19" s="45">
        <v>720</v>
      </c>
      <c r="L19" s="32">
        <f t="shared" si="18"/>
        <v>701.76</v>
      </c>
      <c r="M19" s="32"/>
      <c r="N19" s="33">
        <v>1421.76</v>
      </c>
      <c r="O19" s="32"/>
      <c r="P19" s="298">
        <f t="shared" si="19"/>
        <v>1421.76</v>
      </c>
      <c r="Q19" s="45">
        <v>630</v>
      </c>
      <c r="R19" s="32">
        <f t="shared" si="20"/>
        <v>791.76</v>
      </c>
      <c r="S19" s="77">
        <f t="shared" si="21"/>
        <v>1770</v>
      </c>
      <c r="T19" s="315">
        <v>1436.12</v>
      </c>
      <c r="U19" s="337">
        <v>450</v>
      </c>
      <c r="V19" s="315">
        <f t="shared" si="22"/>
        <v>986.1199999999999</v>
      </c>
      <c r="W19" s="265">
        <v>0</v>
      </c>
      <c r="X19" s="315"/>
      <c r="Y19" s="341">
        <v>9306.29</v>
      </c>
      <c r="Z19" s="83">
        <v>820</v>
      </c>
      <c r="AA19" s="393">
        <f t="shared" si="23"/>
        <v>820</v>
      </c>
      <c r="AB19" s="396">
        <v>540</v>
      </c>
      <c r="AC19" s="395">
        <f t="shared" si="24"/>
        <v>280</v>
      </c>
      <c r="AD19" s="364">
        <v>820</v>
      </c>
      <c r="AE19" s="79">
        <v>480</v>
      </c>
      <c r="AF19" s="364">
        <f t="shared" si="25"/>
        <v>340</v>
      </c>
      <c r="AG19" s="77">
        <f t="shared" si="26"/>
        <v>1470</v>
      </c>
      <c r="AH19" s="83">
        <v>1300</v>
      </c>
      <c r="AI19" s="79">
        <v>480</v>
      </c>
      <c r="AJ19" s="83">
        <f t="shared" si="27"/>
        <v>820</v>
      </c>
      <c r="AK19" s="83">
        <v>1300</v>
      </c>
      <c r="AL19" s="428">
        <v>630</v>
      </c>
      <c r="AM19" s="425">
        <f t="shared" si="28"/>
        <v>670</v>
      </c>
      <c r="AN19" s="24">
        <v>1300</v>
      </c>
      <c r="AO19" s="79">
        <v>510</v>
      </c>
      <c r="AP19" s="87">
        <f t="shared" si="29"/>
        <v>790</v>
      </c>
      <c r="AQ19" s="77">
        <f t="shared" si="30"/>
        <v>1620</v>
      </c>
      <c r="AR19" s="315"/>
      <c r="AS19" s="265"/>
      <c r="AT19" s="341">
        <v>1708.99</v>
      </c>
      <c r="AU19" s="364">
        <v>1500</v>
      </c>
      <c r="AV19" s="471">
        <v>700</v>
      </c>
      <c r="AW19" s="463">
        <f t="shared" si="31"/>
        <v>2200</v>
      </c>
      <c r="AX19" s="364">
        <f t="shared" si="32"/>
        <v>2200</v>
      </c>
      <c r="AY19" s="526">
        <v>420</v>
      </c>
      <c r="AZ19" s="83">
        <f t="shared" si="33"/>
        <v>1780</v>
      </c>
      <c r="BA19" s="24"/>
      <c r="BB19" s="83"/>
      <c r="BC19" s="364">
        <v>1500</v>
      </c>
      <c r="BD19" s="471">
        <v>700</v>
      </c>
      <c r="BE19" s="24">
        <f t="shared" si="34"/>
        <v>2200</v>
      </c>
      <c r="BF19" s="24">
        <f t="shared" si="35"/>
        <v>2200</v>
      </c>
      <c r="BG19" s="562"/>
      <c r="BH19" s="395"/>
      <c r="BI19" s="395"/>
      <c r="BJ19" s="575">
        <f t="shared" si="9"/>
        <v>2200</v>
      </c>
      <c r="BK19" s="364">
        <v>766.2926760000009</v>
      </c>
      <c r="BL19" s="471">
        <f t="shared" si="36"/>
        <v>308.99</v>
      </c>
      <c r="BM19" s="24">
        <f t="shared" si="37"/>
        <v>1075.282676000001</v>
      </c>
      <c r="BN19" s="536">
        <f t="shared" si="10"/>
        <v>1075.282676000001</v>
      </c>
      <c r="BO19" s="77">
        <f t="shared" si="11"/>
        <v>3695.2826760000007</v>
      </c>
      <c r="BP19" s="544">
        <f t="shared" si="38"/>
        <v>8555.282676</v>
      </c>
      <c r="BQ19" s="149">
        <f t="shared" si="39"/>
        <v>5280</v>
      </c>
      <c r="BR19" s="87"/>
    </row>
    <row r="20" spans="1:70" s="5" customFormat="1" ht="22.5" customHeight="1" thickBot="1">
      <c r="A20" s="4">
        <v>16</v>
      </c>
      <c r="B20" s="56" t="s">
        <v>25</v>
      </c>
      <c r="C20" s="149">
        <v>77425</v>
      </c>
      <c r="D20" s="30">
        <v>4731.79</v>
      </c>
      <c r="E20" s="102">
        <v>4725</v>
      </c>
      <c r="F20" s="32">
        <f t="shared" si="16"/>
        <v>6.789999999999964</v>
      </c>
      <c r="G20" s="63"/>
      <c r="H20" s="30">
        <v>4717.78</v>
      </c>
      <c r="I20" s="54"/>
      <c r="J20" s="260">
        <f t="shared" si="17"/>
        <v>4717.78</v>
      </c>
      <c r="K20" s="46">
        <v>4710</v>
      </c>
      <c r="L20" s="32">
        <f t="shared" si="18"/>
        <v>7.779999999999745</v>
      </c>
      <c r="M20" s="63"/>
      <c r="N20" s="34">
        <v>4717.78</v>
      </c>
      <c r="O20" s="63"/>
      <c r="P20" s="298">
        <f t="shared" si="19"/>
        <v>4717.78</v>
      </c>
      <c r="Q20" s="46">
        <v>4695</v>
      </c>
      <c r="R20" s="32">
        <f t="shared" si="20"/>
        <v>22.779999999999745</v>
      </c>
      <c r="S20" s="77">
        <f t="shared" si="21"/>
        <v>14130</v>
      </c>
      <c r="T20" s="315">
        <v>4765.45</v>
      </c>
      <c r="U20" s="338">
        <v>4760</v>
      </c>
      <c r="V20" s="315">
        <f t="shared" si="22"/>
        <v>5.449999999999818</v>
      </c>
      <c r="W20" s="265">
        <v>0</v>
      </c>
      <c r="X20" s="380"/>
      <c r="Y20" s="342">
        <v>68994.94</v>
      </c>
      <c r="Z20" s="365">
        <v>9000</v>
      </c>
      <c r="AA20" s="393">
        <f t="shared" si="23"/>
        <v>9000</v>
      </c>
      <c r="AB20" s="396">
        <v>9000</v>
      </c>
      <c r="AC20" s="395">
        <f t="shared" si="24"/>
        <v>0</v>
      </c>
      <c r="AD20" s="364">
        <v>9000</v>
      </c>
      <c r="AE20" s="79">
        <v>8995</v>
      </c>
      <c r="AF20" s="364">
        <f t="shared" si="25"/>
        <v>5</v>
      </c>
      <c r="AG20" s="77">
        <f t="shared" si="26"/>
        <v>22755</v>
      </c>
      <c r="AH20" s="365">
        <v>9000</v>
      </c>
      <c r="AI20" s="417">
        <v>9000</v>
      </c>
      <c r="AJ20" s="83">
        <f t="shared" si="27"/>
        <v>0</v>
      </c>
      <c r="AK20" s="366">
        <v>9000</v>
      </c>
      <c r="AL20" s="430">
        <v>8980</v>
      </c>
      <c r="AM20" s="425">
        <f t="shared" si="28"/>
        <v>20</v>
      </c>
      <c r="AN20" s="24">
        <v>9000</v>
      </c>
      <c r="AO20" s="482">
        <v>8990</v>
      </c>
      <c r="AP20" s="87">
        <f t="shared" si="29"/>
        <v>10</v>
      </c>
      <c r="AQ20" s="77">
        <f t="shared" si="30"/>
        <v>26970</v>
      </c>
      <c r="AR20" s="380"/>
      <c r="AS20" s="502"/>
      <c r="AT20" s="467">
        <v>12670.1</v>
      </c>
      <c r="AU20" s="469">
        <v>9000</v>
      </c>
      <c r="AV20" s="473">
        <v>5000</v>
      </c>
      <c r="AW20" s="463">
        <f t="shared" si="31"/>
        <v>14000</v>
      </c>
      <c r="AX20" s="364">
        <f t="shared" si="32"/>
        <v>14000</v>
      </c>
      <c r="AY20" s="526">
        <v>12515</v>
      </c>
      <c r="AZ20" s="83">
        <f t="shared" si="33"/>
        <v>1485</v>
      </c>
      <c r="BA20" s="30"/>
      <c r="BB20" s="365"/>
      <c r="BC20" s="461">
        <v>9000</v>
      </c>
      <c r="BD20" s="473">
        <v>5000</v>
      </c>
      <c r="BE20" s="24">
        <f t="shared" si="34"/>
        <v>14000</v>
      </c>
      <c r="BF20" s="24">
        <f t="shared" si="35"/>
        <v>14000</v>
      </c>
      <c r="BG20" s="562"/>
      <c r="BH20" s="395"/>
      <c r="BI20" s="395"/>
      <c r="BJ20" s="575">
        <f t="shared" si="9"/>
        <v>14000</v>
      </c>
      <c r="BK20" s="364">
        <v>5994.92846000001</v>
      </c>
      <c r="BL20" s="471">
        <f t="shared" si="36"/>
        <v>2670.1000000000004</v>
      </c>
      <c r="BM20" s="24">
        <f t="shared" si="37"/>
        <v>8665.02846000001</v>
      </c>
      <c r="BN20" s="536">
        <f t="shared" si="10"/>
        <v>8665.02846000001</v>
      </c>
      <c r="BO20" s="77">
        <f t="shared" si="11"/>
        <v>35180.02846000001</v>
      </c>
      <c r="BP20" s="544">
        <f t="shared" si="38"/>
        <v>99035.02846</v>
      </c>
      <c r="BQ20" s="149">
        <f t="shared" si="39"/>
        <v>76370</v>
      </c>
      <c r="BR20" s="87"/>
    </row>
    <row r="21" spans="1:70" s="10" customFormat="1" ht="23.25" customHeight="1">
      <c r="A21" s="64"/>
      <c r="B21" s="126" t="s">
        <v>12</v>
      </c>
      <c r="C21" s="48">
        <v>185230</v>
      </c>
      <c r="D21" s="48">
        <f aca="true" t="shared" si="40" ref="D21:AI21">SUM(D13:D20)</f>
        <v>14747.07</v>
      </c>
      <c r="E21" s="48">
        <f t="shared" si="40"/>
        <v>13560</v>
      </c>
      <c r="F21" s="48">
        <f t="shared" si="40"/>
        <v>1187.0700000000002</v>
      </c>
      <c r="G21" s="48">
        <f t="shared" si="40"/>
        <v>0</v>
      </c>
      <c r="H21" s="48">
        <f t="shared" si="40"/>
        <v>14703.45</v>
      </c>
      <c r="I21" s="48">
        <f t="shared" si="40"/>
        <v>0</v>
      </c>
      <c r="J21" s="48">
        <f t="shared" si="40"/>
        <v>14703.45</v>
      </c>
      <c r="K21" s="48">
        <f t="shared" si="40"/>
        <v>11610</v>
      </c>
      <c r="L21" s="48">
        <f t="shared" si="40"/>
        <v>3093.45</v>
      </c>
      <c r="M21" s="48">
        <f t="shared" si="40"/>
        <v>0</v>
      </c>
      <c r="N21" s="48">
        <f t="shared" si="40"/>
        <v>14703.45</v>
      </c>
      <c r="O21" s="48">
        <f t="shared" si="40"/>
        <v>0</v>
      </c>
      <c r="P21" s="48">
        <f t="shared" si="40"/>
        <v>14703.45</v>
      </c>
      <c r="Q21" s="48">
        <f t="shared" si="40"/>
        <v>13725</v>
      </c>
      <c r="R21" s="48">
        <f t="shared" si="40"/>
        <v>978.4499999999997</v>
      </c>
      <c r="S21" s="48">
        <f t="shared" si="40"/>
        <v>38895</v>
      </c>
      <c r="T21" s="141">
        <f t="shared" si="40"/>
        <v>14851.98</v>
      </c>
      <c r="U21" s="141">
        <f t="shared" si="40"/>
        <v>12640</v>
      </c>
      <c r="V21" s="141">
        <f t="shared" si="40"/>
        <v>2211.9799999999996</v>
      </c>
      <c r="W21" s="348">
        <f t="shared" si="40"/>
        <v>0</v>
      </c>
      <c r="X21" s="348">
        <f t="shared" si="40"/>
        <v>0</v>
      </c>
      <c r="Y21" s="348">
        <f t="shared" si="40"/>
        <v>134357.2</v>
      </c>
      <c r="Z21" s="348">
        <f t="shared" si="40"/>
        <v>17500</v>
      </c>
      <c r="AA21" s="348">
        <f t="shared" si="40"/>
        <v>17500</v>
      </c>
      <c r="AB21" s="348">
        <f t="shared" si="40"/>
        <v>17160</v>
      </c>
      <c r="AC21" s="367">
        <f t="shared" si="40"/>
        <v>340</v>
      </c>
      <c r="AD21" s="382">
        <f t="shared" si="40"/>
        <v>17500</v>
      </c>
      <c r="AE21" s="367">
        <f t="shared" si="40"/>
        <v>17115</v>
      </c>
      <c r="AF21" s="382">
        <f t="shared" si="40"/>
        <v>385</v>
      </c>
      <c r="AG21" s="367">
        <f t="shared" si="40"/>
        <v>46915</v>
      </c>
      <c r="AH21" s="367">
        <f t="shared" si="40"/>
        <v>18220</v>
      </c>
      <c r="AI21" s="367">
        <f t="shared" si="40"/>
        <v>17160</v>
      </c>
      <c r="AJ21" s="367">
        <f aca="true" t="shared" si="41" ref="AJ21:BR21">SUM(AJ13:AJ20)</f>
        <v>1060</v>
      </c>
      <c r="AK21" s="348">
        <f t="shared" si="41"/>
        <v>18220</v>
      </c>
      <c r="AL21" s="348">
        <f t="shared" si="41"/>
        <v>17430</v>
      </c>
      <c r="AM21" s="348">
        <f t="shared" si="41"/>
        <v>790</v>
      </c>
      <c r="AN21" s="348">
        <f t="shared" si="41"/>
        <v>18220</v>
      </c>
      <c r="AO21" s="348">
        <f t="shared" si="41"/>
        <v>16480</v>
      </c>
      <c r="AP21" s="367">
        <f t="shared" si="41"/>
        <v>1740</v>
      </c>
      <c r="AQ21" s="367">
        <f t="shared" si="41"/>
        <v>51070</v>
      </c>
      <c r="AR21" s="348">
        <f t="shared" si="41"/>
        <v>0</v>
      </c>
      <c r="AS21" s="367">
        <f t="shared" si="41"/>
        <v>0</v>
      </c>
      <c r="AT21" s="367">
        <f t="shared" si="41"/>
        <v>24673.11</v>
      </c>
      <c r="AU21" s="382">
        <f t="shared" si="41"/>
        <v>18420</v>
      </c>
      <c r="AV21" s="367">
        <f t="shared" si="41"/>
        <v>7805</v>
      </c>
      <c r="AW21" s="367">
        <f t="shared" si="41"/>
        <v>26225</v>
      </c>
      <c r="AX21" s="348">
        <f t="shared" si="41"/>
        <v>26225</v>
      </c>
      <c r="AY21" s="519">
        <f t="shared" si="41"/>
        <v>22845</v>
      </c>
      <c r="AZ21" s="367">
        <f t="shared" si="41"/>
        <v>3380</v>
      </c>
      <c r="BA21" s="367">
        <f t="shared" si="41"/>
        <v>0</v>
      </c>
      <c r="BB21" s="367">
        <f t="shared" si="41"/>
        <v>0</v>
      </c>
      <c r="BC21" s="382">
        <f t="shared" si="41"/>
        <v>17962.612268</v>
      </c>
      <c r="BD21" s="474">
        <f t="shared" si="41"/>
        <v>8263</v>
      </c>
      <c r="BE21" s="367">
        <f t="shared" si="41"/>
        <v>26225.612268</v>
      </c>
      <c r="BF21" s="348">
        <f t="shared" si="41"/>
        <v>26225.612268</v>
      </c>
      <c r="BG21" s="348">
        <f aca="true" t="shared" si="42" ref="BG21:BN21">SUM(BG13:BG20)</f>
        <v>0</v>
      </c>
      <c r="BH21" s="348">
        <f t="shared" si="42"/>
        <v>0</v>
      </c>
      <c r="BI21" s="348">
        <f t="shared" si="42"/>
        <v>0</v>
      </c>
      <c r="BJ21" s="348">
        <f t="shared" si="42"/>
        <v>26225.612268</v>
      </c>
      <c r="BK21" s="348">
        <f t="shared" si="42"/>
        <v>8314.581441920014</v>
      </c>
      <c r="BL21" s="348">
        <f t="shared" si="42"/>
        <v>8605.11</v>
      </c>
      <c r="BM21" s="348">
        <f t="shared" si="42"/>
        <v>16919.691441920015</v>
      </c>
      <c r="BN21" s="348">
        <f t="shared" si="42"/>
        <v>16919.691441920015</v>
      </c>
      <c r="BO21" s="546">
        <f t="shared" si="41"/>
        <v>65990.30370992002</v>
      </c>
      <c r="BP21" s="48">
        <f t="shared" si="41"/>
        <v>202870.30370992003</v>
      </c>
      <c r="BQ21" s="237">
        <f t="shared" si="41"/>
        <v>159725</v>
      </c>
      <c r="BR21" s="48">
        <f t="shared" si="41"/>
        <v>0</v>
      </c>
    </row>
    <row r="22" spans="1:70" s="10" customFormat="1" ht="20.25" customHeight="1" thickBot="1">
      <c r="A22" s="65"/>
      <c r="B22" s="127" t="s">
        <v>43</v>
      </c>
      <c r="C22" s="49">
        <v>3290376</v>
      </c>
      <c r="D22" s="49">
        <f aca="true" t="shared" si="43" ref="D22:AI22">D12+D21</f>
        <v>200020.08000000002</v>
      </c>
      <c r="E22" s="49">
        <f t="shared" si="43"/>
        <v>257247</v>
      </c>
      <c r="F22" s="151">
        <f t="shared" si="43"/>
        <v>5312.620000000003</v>
      </c>
      <c r="G22" s="49">
        <f t="shared" si="43"/>
        <v>173459</v>
      </c>
      <c r="H22" s="49">
        <f t="shared" si="43"/>
        <v>195979.92</v>
      </c>
      <c r="I22" s="151">
        <f t="shared" si="43"/>
        <v>5312.620000000002</v>
      </c>
      <c r="J22" s="49">
        <f t="shared" si="43"/>
        <v>203238.79</v>
      </c>
      <c r="K22" s="49">
        <f t="shared" si="43"/>
        <v>245921</v>
      </c>
      <c r="L22" s="151">
        <f t="shared" si="43"/>
        <v>3103.814863649889</v>
      </c>
      <c r="M22" s="49">
        <f t="shared" si="43"/>
        <v>170588</v>
      </c>
      <c r="N22" s="49">
        <f t="shared" si="43"/>
        <v>196053.75000000003</v>
      </c>
      <c r="O22" s="151">
        <f t="shared" si="43"/>
        <v>3103.8148636498895</v>
      </c>
      <c r="P22" s="49">
        <f t="shared" si="43"/>
        <v>199186.6248636499</v>
      </c>
      <c r="Q22" s="49">
        <f t="shared" si="43"/>
        <v>367879</v>
      </c>
      <c r="R22" s="151">
        <f t="shared" si="43"/>
        <v>984.321827562543</v>
      </c>
      <c r="S22" s="49">
        <f t="shared" si="43"/>
        <v>871047</v>
      </c>
      <c r="T22" s="142">
        <f t="shared" si="43"/>
        <v>201948.6</v>
      </c>
      <c r="U22" s="142">
        <f t="shared" si="43"/>
        <v>193008</v>
      </c>
      <c r="V22" s="205">
        <f t="shared" si="43"/>
        <v>15540.600000000002</v>
      </c>
      <c r="W22" s="349">
        <f t="shared" si="43"/>
        <v>119625.25</v>
      </c>
      <c r="X22" s="388">
        <f t="shared" si="43"/>
        <v>16524.921827562546</v>
      </c>
      <c r="Y22" s="349">
        <f t="shared" si="43"/>
        <v>1282400</v>
      </c>
      <c r="Z22" s="349">
        <f t="shared" si="43"/>
        <v>193522.34000000003</v>
      </c>
      <c r="AA22" s="349">
        <f t="shared" si="43"/>
        <v>221542.42182756256</v>
      </c>
      <c r="AB22" s="349">
        <f t="shared" si="43"/>
        <v>305711</v>
      </c>
      <c r="AC22" s="151">
        <f t="shared" si="43"/>
        <v>341</v>
      </c>
      <c r="AD22" s="383">
        <f t="shared" si="43"/>
        <v>197340</v>
      </c>
      <c r="AE22" s="368">
        <f t="shared" si="43"/>
        <v>286584</v>
      </c>
      <c r="AF22" s="411">
        <f t="shared" si="43"/>
        <v>389</v>
      </c>
      <c r="AG22" s="368">
        <f t="shared" si="43"/>
        <v>785303</v>
      </c>
      <c r="AH22" s="368">
        <f t="shared" si="43"/>
        <v>184220</v>
      </c>
      <c r="AI22" s="368">
        <f t="shared" si="43"/>
        <v>238730</v>
      </c>
      <c r="AJ22" s="419">
        <f aca="true" t="shared" si="44" ref="AJ22:BR22">AJ12+AJ21</f>
        <v>1067</v>
      </c>
      <c r="AK22" s="349">
        <f t="shared" si="44"/>
        <v>196117</v>
      </c>
      <c r="AL22" s="349">
        <f t="shared" si="44"/>
        <v>293802</v>
      </c>
      <c r="AM22" s="442">
        <f t="shared" si="44"/>
        <v>790</v>
      </c>
      <c r="AN22" s="349">
        <f t="shared" si="44"/>
        <v>197270.37</v>
      </c>
      <c r="AO22" s="349">
        <f t="shared" si="44"/>
        <v>309491</v>
      </c>
      <c r="AP22" s="419">
        <f t="shared" si="44"/>
        <v>1755.369999999999</v>
      </c>
      <c r="AQ22" s="368">
        <f t="shared" si="44"/>
        <v>842023</v>
      </c>
      <c r="AR22" s="349">
        <f t="shared" si="44"/>
        <v>164072.55555555556</v>
      </c>
      <c r="AS22" s="151">
        <f t="shared" si="44"/>
        <v>4342.37</v>
      </c>
      <c r="AT22" s="368">
        <f t="shared" si="44"/>
        <v>297199.99999999994</v>
      </c>
      <c r="AU22" s="383">
        <f t="shared" si="44"/>
        <v>197043</v>
      </c>
      <c r="AV22" s="368">
        <f t="shared" si="44"/>
        <v>45022</v>
      </c>
      <c r="AW22" s="368">
        <f t="shared" si="44"/>
        <v>239782.47</v>
      </c>
      <c r="AX22" s="349">
        <f t="shared" si="44"/>
        <v>195452.38999999998</v>
      </c>
      <c r="AY22" s="520">
        <f t="shared" si="44"/>
        <v>348916</v>
      </c>
      <c r="AZ22" s="419">
        <f t="shared" si="44"/>
        <v>3391.0816528595387</v>
      </c>
      <c r="BA22" s="368">
        <f t="shared" si="44"/>
        <v>213008.3</v>
      </c>
      <c r="BB22" s="419">
        <f t="shared" si="44"/>
        <v>3391.0816528595396</v>
      </c>
      <c r="BC22" s="383">
        <f t="shared" si="44"/>
        <v>97382.41502272003</v>
      </c>
      <c r="BD22" s="475">
        <f t="shared" si="44"/>
        <v>122355</v>
      </c>
      <c r="BE22" s="368">
        <f t="shared" si="44"/>
        <v>226200.37502272005</v>
      </c>
      <c r="BF22" s="349">
        <f t="shared" si="44"/>
        <v>229591.4566755796</v>
      </c>
      <c r="BG22" s="349">
        <f aca="true" t="shared" si="45" ref="BG22:BN22">BG12+BG21</f>
        <v>99999.99999999999</v>
      </c>
      <c r="BH22" s="349">
        <f t="shared" si="45"/>
        <v>51381.123999999996</v>
      </c>
      <c r="BI22" s="349">
        <f t="shared" si="45"/>
        <v>48618.876</v>
      </c>
      <c r="BJ22" s="349">
        <f t="shared" si="45"/>
        <v>280972.5806755796</v>
      </c>
      <c r="BK22" s="349">
        <f t="shared" si="45"/>
        <v>8314.58453192003</v>
      </c>
      <c r="BL22" s="349">
        <f t="shared" si="45"/>
        <v>129823.00000000001</v>
      </c>
      <c r="BM22" s="349">
        <f t="shared" si="45"/>
        <v>180347.07453192</v>
      </c>
      <c r="BN22" s="349">
        <f t="shared" si="45"/>
        <v>228965.95053192004</v>
      </c>
      <c r="BO22" s="368">
        <f t="shared" si="44"/>
        <v>858854.5312074997</v>
      </c>
      <c r="BP22" s="49">
        <f t="shared" si="44"/>
        <v>3357227.5312074996</v>
      </c>
      <c r="BQ22" s="143">
        <f t="shared" si="44"/>
        <v>2847289</v>
      </c>
      <c r="BR22" s="49">
        <f t="shared" si="44"/>
        <v>0</v>
      </c>
    </row>
    <row r="23" spans="1:118" s="76" customFormat="1" ht="34.5" customHeight="1" thickBot="1">
      <c r="A23" s="16"/>
      <c r="B23" s="17"/>
      <c r="C23" s="179" t="s">
        <v>39</v>
      </c>
      <c r="D23" s="178"/>
      <c r="E23" s="197">
        <f>-(F6+F7+F11)</f>
        <v>62539.54</v>
      </c>
      <c r="F23" s="135"/>
      <c r="G23" s="131" t="s">
        <v>34</v>
      </c>
      <c r="H23" s="136">
        <f>F22*100/G22</f>
        <v>3.0627525813016345</v>
      </c>
      <c r="I23" s="22"/>
      <c r="J23" s="273" t="s">
        <v>73</v>
      </c>
      <c r="K23" s="274">
        <f>-(L6+L7+L11)</f>
        <v>45786.02486364989</v>
      </c>
      <c r="L23" s="131" t="s">
        <v>34</v>
      </c>
      <c r="M23" s="297">
        <f>L22*100/M22</f>
        <v>1.8194801883191603</v>
      </c>
      <c r="N23" s="257"/>
      <c r="O23" s="257"/>
      <c r="P23" s="257"/>
      <c r="Q23" s="258"/>
      <c r="R23" s="259">
        <f>16871.57+152600+205.12</f>
        <v>169676.69</v>
      </c>
      <c r="S23" s="324" t="s">
        <v>90</v>
      </c>
      <c r="T23" s="323">
        <f>R22</f>
        <v>984.321827562543</v>
      </c>
      <c r="U23" s="273" t="s">
        <v>73</v>
      </c>
      <c r="V23" s="351">
        <f>-(V7)</f>
        <v>6600</v>
      </c>
      <c r="W23" s="356"/>
      <c r="X23" s="356"/>
      <c r="Y23" s="323"/>
      <c r="Z23" s="144"/>
      <c r="AA23" s="273" t="s">
        <v>73</v>
      </c>
      <c r="AB23" s="245">
        <f>-(AC6+AC7+AC11)</f>
        <v>84509.57895299152</v>
      </c>
      <c r="AC23" s="144"/>
      <c r="AD23" s="273" t="s">
        <v>73</v>
      </c>
      <c r="AE23" s="245">
        <f>-(AF6+AF7+AF11)</f>
        <v>89423</v>
      </c>
      <c r="AF23" s="144"/>
      <c r="AG23" s="144"/>
      <c r="AH23" s="144"/>
      <c r="AI23" s="273" t="s">
        <v>73</v>
      </c>
      <c r="AJ23" s="245">
        <f>-(AJ6+AJ7+AJ11)</f>
        <v>55577</v>
      </c>
      <c r="AK23" s="144"/>
      <c r="AL23" s="273" t="s">
        <v>73</v>
      </c>
      <c r="AM23" s="245">
        <f>-(AM6+AM7+AM11)</f>
        <v>98475</v>
      </c>
      <c r="AN23" s="144"/>
      <c r="AO23" s="273" t="s">
        <v>73</v>
      </c>
      <c r="AP23" s="491">
        <f>-(AP6+AP7+AP11)</f>
        <v>113976</v>
      </c>
      <c r="AQ23" s="144"/>
      <c r="AR23" s="144"/>
      <c r="AS23" s="144"/>
      <c r="AT23" s="144"/>
      <c r="AU23" s="144"/>
      <c r="AV23" s="144"/>
      <c r="AW23" s="144"/>
      <c r="AX23" s="144"/>
      <c r="AY23" s="273" t="s">
        <v>73</v>
      </c>
      <c r="AZ23" s="491">
        <f>-(AZ7+AZ8+AZ9+AZ11)</f>
        <v>156854.69010301676</v>
      </c>
      <c r="BA23" s="532"/>
      <c r="BB23" s="532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</row>
    <row r="24" spans="2:69" s="112" customFormat="1" ht="36" customHeight="1" hidden="1" thickBot="1">
      <c r="B24" s="113"/>
      <c r="C24" s="114"/>
      <c r="D24" s="80"/>
      <c r="E24" s="116"/>
      <c r="F24" s="80"/>
      <c r="G24" s="80"/>
      <c r="H24" s="115"/>
      <c r="I24" s="115"/>
      <c r="J24" s="114"/>
      <c r="K24" s="115"/>
      <c r="L24" s="576" t="s">
        <v>47</v>
      </c>
      <c r="M24" s="577"/>
      <c r="N24" s="578"/>
      <c r="O24" s="266"/>
      <c r="P24" s="266"/>
      <c r="Q24" s="253">
        <f>N23+R22</f>
        <v>984.321827562543</v>
      </c>
      <c r="R24" s="192" t="s">
        <v>34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521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229" t="e">
        <f>#REF!+#REF!+#REF!</f>
        <v>#REF!</v>
      </c>
      <c r="BQ24" s="80"/>
    </row>
    <row r="25" spans="2:69" s="100" customFormat="1" ht="33" customHeight="1" thickBot="1">
      <c r="B25" s="117"/>
      <c r="C25" s="94"/>
      <c r="D25" s="36"/>
      <c r="E25" s="88"/>
      <c r="F25" s="36"/>
      <c r="G25" s="36"/>
      <c r="H25" s="94"/>
      <c r="I25" s="94"/>
      <c r="J25" s="41"/>
      <c r="K25" s="579"/>
      <c r="L25" s="580"/>
      <c r="M25" s="296"/>
      <c r="N25" s="94"/>
      <c r="O25" s="94"/>
      <c r="P25" s="94"/>
      <c r="Q25" s="94"/>
      <c r="R25" s="94"/>
      <c r="S25" s="89"/>
      <c r="T25" s="581" t="s">
        <v>107</v>
      </c>
      <c r="U25" s="582"/>
      <c r="V25" s="190">
        <f>R22+V22</f>
        <v>16524.921827562546</v>
      </c>
      <c r="W25" s="374" t="s">
        <v>124</v>
      </c>
      <c r="X25" s="387">
        <f>V25*100/W22</f>
        <v>13.813907872763105</v>
      </c>
      <c r="Y25" s="89"/>
      <c r="Z25" s="89"/>
      <c r="AA25" s="89"/>
      <c r="AB25" s="89"/>
      <c r="AC25" s="404"/>
      <c r="AD25" s="190">
        <f>AC22+AF22</f>
        <v>730</v>
      </c>
      <c r="AE25" s="412" t="s">
        <v>134</v>
      </c>
      <c r="AF25" s="413">
        <f>-AF10</f>
        <v>210.00000000000182</v>
      </c>
      <c r="AG25" s="89"/>
      <c r="AH25" s="89"/>
      <c r="AI25" s="89"/>
      <c r="AJ25" s="89"/>
      <c r="AK25" s="89"/>
      <c r="AL25" s="89"/>
      <c r="AM25" s="89"/>
      <c r="AN25" s="89"/>
      <c r="AO25" s="404" t="s">
        <v>171</v>
      </c>
      <c r="AP25" s="498">
        <f>341+389+1067+790+1755.37</f>
        <v>4342.37</v>
      </c>
      <c r="AQ25" s="496" t="s">
        <v>172</v>
      </c>
      <c r="AR25" s="497">
        <f>AP25*100/AR22</f>
        <v>2.6466156910255827</v>
      </c>
      <c r="AS25" s="89"/>
      <c r="AT25" s="89"/>
      <c r="AU25" s="89"/>
      <c r="AV25" s="89"/>
      <c r="AW25" s="88"/>
      <c r="AX25" s="89"/>
      <c r="AY25" s="496" t="s">
        <v>172</v>
      </c>
      <c r="AZ25" s="537">
        <f>AZ22*100/BA22</f>
        <v>1.5919950785295875</v>
      </c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189" t="s">
        <v>41</v>
      </c>
      <c r="BQ25" s="448"/>
    </row>
    <row r="26" spans="2:69" s="100" customFormat="1" ht="12.75">
      <c r="B26" s="118"/>
      <c r="C26" s="119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522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8"/>
      <c r="BQ26" s="36"/>
    </row>
    <row r="27" spans="2:69" s="100" customFormat="1" ht="12.75">
      <c r="B27" s="89"/>
      <c r="C27" s="41"/>
      <c r="D27" s="36"/>
      <c r="E27" s="88"/>
      <c r="F27" s="36"/>
      <c r="G27" s="36"/>
      <c r="H27" s="94"/>
      <c r="I27" s="94"/>
      <c r="J27" s="41"/>
      <c r="K27" s="94"/>
      <c r="L27" s="94"/>
      <c r="M27" s="94"/>
      <c r="N27" s="94"/>
      <c r="O27" s="94"/>
      <c r="P27" s="94"/>
      <c r="Q27" s="94"/>
      <c r="R27" s="94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16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522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8"/>
      <c r="BQ27" s="36"/>
    </row>
    <row r="28" spans="2:69" s="100" customFormat="1" ht="12.75">
      <c r="B28" s="93"/>
      <c r="C28" s="92"/>
      <c r="D28" s="108"/>
      <c r="E28" s="103"/>
      <c r="F28" s="92"/>
      <c r="G28" s="92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52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20"/>
      <c r="BQ28" s="121"/>
    </row>
    <row r="29" spans="2:69" s="100" customFormat="1" ht="15.75" customHeight="1">
      <c r="B29" s="93"/>
      <c r="C29" s="92"/>
      <c r="D29" s="108"/>
      <c r="E29" s="252"/>
      <c r="F29" s="108"/>
      <c r="G29" s="108"/>
      <c r="H29" s="109"/>
      <c r="I29" s="109"/>
      <c r="J29" s="92"/>
      <c r="K29" s="109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52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8"/>
    </row>
    <row r="30" spans="2:69" s="100" customFormat="1" ht="15" customHeight="1">
      <c r="B30" s="110"/>
      <c r="C30" s="92"/>
      <c r="D30" s="108"/>
      <c r="E30" s="103"/>
      <c r="F30" s="108"/>
      <c r="G30" s="108"/>
      <c r="H30" s="109"/>
      <c r="I30" s="109"/>
      <c r="J30" s="92"/>
      <c r="K30" s="108"/>
      <c r="L30" s="109"/>
      <c r="M30" s="109"/>
      <c r="N30" s="109"/>
      <c r="O30" s="109"/>
      <c r="P30" s="109"/>
      <c r="Q30" s="109"/>
      <c r="R30" s="109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52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53"/>
      <c r="BQ30" s="108"/>
    </row>
    <row r="31" spans="2:69" s="100" customFormat="1" ht="17.25" customHeight="1">
      <c r="B31" s="111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522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103"/>
      <c r="BQ31" s="108"/>
    </row>
    <row r="32" spans="2:69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522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8"/>
      <c r="BQ32" s="36"/>
    </row>
    <row r="33" spans="2:69" s="100" customFormat="1" ht="25.5" customHeight="1" hidden="1" thickBot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522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8"/>
      <c r="BQ33" s="36"/>
    </row>
    <row r="34" spans="2:69" s="100" customFormat="1" ht="25.5" customHeight="1" hidden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52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8"/>
      <c r="BQ34" s="36"/>
    </row>
    <row r="35" spans="2:69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522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8"/>
      <c r="BQ35" s="36"/>
    </row>
    <row r="36" spans="2:69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522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8"/>
      <c r="BQ36" s="36"/>
    </row>
    <row r="37" spans="2:69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522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8"/>
      <c r="BQ37" s="36"/>
    </row>
    <row r="38" spans="2:69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522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8"/>
      <c r="BQ38" s="36"/>
    </row>
    <row r="39" spans="2:69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52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8"/>
      <c r="BQ39" s="36"/>
    </row>
    <row r="40" spans="2:69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522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8"/>
      <c r="BQ40" s="36"/>
    </row>
    <row r="41" spans="2:69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522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8"/>
      <c r="BQ41" s="36"/>
    </row>
    <row r="42" spans="2:69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522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8"/>
      <c r="BQ42" s="36"/>
    </row>
    <row r="43" spans="2:69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522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8"/>
      <c r="BQ43" s="36"/>
    </row>
    <row r="44" spans="2:69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522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8"/>
      <c r="BQ44" s="36"/>
    </row>
    <row r="45" spans="2:69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522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8"/>
      <c r="BQ45" s="36"/>
    </row>
    <row r="46" spans="2:69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52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8"/>
      <c r="BQ46" s="36"/>
    </row>
    <row r="47" spans="2:69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52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8"/>
      <c r="BQ47" s="36"/>
    </row>
    <row r="48" spans="2:69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522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8"/>
      <c r="BQ48" s="36"/>
    </row>
    <row r="49" spans="2:69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522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8"/>
      <c r="BQ49" s="36"/>
    </row>
    <row r="50" spans="2:69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522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8"/>
      <c r="BQ50" s="36"/>
    </row>
    <row r="51" spans="2:69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522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8"/>
      <c r="BQ51" s="36"/>
    </row>
    <row r="52" spans="2:69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522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8"/>
      <c r="BQ52" s="36"/>
    </row>
    <row r="53" spans="2:69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522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8"/>
      <c r="BQ53" s="36"/>
    </row>
    <row r="54" spans="2:69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522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8"/>
      <c r="BQ54" s="36"/>
    </row>
    <row r="55" spans="2:69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522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8"/>
      <c r="BQ55" s="36"/>
    </row>
    <row r="56" spans="2:69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522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8"/>
      <c r="BQ56" s="36"/>
    </row>
    <row r="57" spans="2:69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522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8"/>
      <c r="BQ57" s="36"/>
    </row>
    <row r="58" spans="2:69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522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8"/>
      <c r="BQ58" s="36"/>
    </row>
    <row r="59" spans="2:69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522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8"/>
      <c r="BQ59" s="36"/>
    </row>
    <row r="60" spans="2:69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522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8"/>
      <c r="BQ60" s="36"/>
    </row>
    <row r="61" spans="2:69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522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8"/>
      <c r="BQ61" s="36"/>
    </row>
    <row r="62" spans="2:69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522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8"/>
      <c r="BQ62" s="36"/>
    </row>
    <row r="63" spans="2:69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52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8"/>
      <c r="BQ63" s="36"/>
    </row>
    <row r="64" spans="2:69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52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8"/>
      <c r="BQ64" s="36"/>
    </row>
    <row r="65" spans="2:69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52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8"/>
      <c r="BQ65" s="36"/>
    </row>
    <row r="66" spans="2:69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522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8"/>
      <c r="BQ66" s="36"/>
    </row>
    <row r="67" spans="2:69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522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8"/>
      <c r="BQ67" s="36"/>
    </row>
    <row r="68" spans="2:69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522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8"/>
      <c r="BQ68" s="36"/>
    </row>
    <row r="69" spans="2:69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522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8"/>
      <c r="BQ69" s="36"/>
    </row>
    <row r="70" spans="2:69" s="100" customFormat="1" ht="25.5" customHeight="1">
      <c r="B70" s="89"/>
      <c r="C70" s="41"/>
      <c r="D70" s="36"/>
      <c r="E70" s="88"/>
      <c r="F70" s="36"/>
      <c r="G70" s="36"/>
      <c r="H70" s="94"/>
      <c r="I70" s="94"/>
      <c r="J70" s="41"/>
      <c r="K70" s="94"/>
      <c r="L70" s="94"/>
      <c r="M70" s="94"/>
      <c r="N70" s="94"/>
      <c r="O70" s="94"/>
      <c r="P70" s="94"/>
      <c r="Q70" s="94"/>
      <c r="R70" s="94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522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8"/>
      <c r="BQ70" s="36"/>
    </row>
  </sheetData>
  <sheetProtection/>
  <mergeCells count="3">
    <mergeCell ref="L24:N24"/>
    <mergeCell ref="K25:L25"/>
    <mergeCell ref="T25:U25"/>
  </mergeCells>
  <printOptions/>
  <pageMargins left="0.16" right="0.16" top="0.27" bottom="0.21" header="0.17" footer="0.17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30"/>
  <sheetViews>
    <sheetView workbookViewId="0" topLeftCell="A3">
      <pane xSplit="6945" ySplit="1680" topLeftCell="T4" activePane="bottomRight" state="split"/>
      <selection pane="topLeft" activeCell="AA4" sqref="AA1:AA16384"/>
      <selection pane="topRight" activeCell="AP4" sqref="AP4"/>
      <selection pane="bottomLeft" activeCell="C29" sqref="C29"/>
      <selection pane="bottomRight" activeCell="AD15" sqref="AD15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customWidth="1"/>
    <col min="20" max="20" width="8.125" style="28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0.00390625" style="28" hidden="1" customWidth="1"/>
    <col min="26" max="27" width="9.125" style="28" customWidth="1"/>
    <col min="28" max="28" width="9.125" style="28" hidden="1" customWidth="1"/>
    <col min="29" max="30" width="9.125" style="28" customWidth="1"/>
    <col min="31" max="31" width="9.625" style="28" customWidth="1"/>
    <col min="32" max="32" width="9.125" style="28" hidden="1" customWidth="1"/>
    <col min="33" max="33" width="9.125" style="28" customWidth="1"/>
    <col min="34" max="34" width="8.25390625" style="28" customWidth="1"/>
    <col min="35" max="35" width="8.875" style="28" hidden="1" customWidth="1"/>
    <col min="36" max="36" width="9.25390625" style="28" customWidth="1"/>
    <col min="37" max="37" width="9.125" style="28" customWidth="1"/>
    <col min="38" max="38" width="9.125" style="28" bestFit="1" customWidth="1"/>
    <col min="39" max="39" width="9.125" style="28" hidden="1" customWidth="1"/>
    <col min="40" max="41" width="9.125" style="28" bestFit="1" customWidth="1"/>
    <col min="42" max="42" width="8.75390625" style="28" customWidth="1"/>
    <col min="43" max="43" width="9.875" style="28" bestFit="1" customWidth="1"/>
    <col min="44" max="44" width="10.875" style="105" bestFit="1" customWidth="1"/>
    <col min="45" max="45" width="11.50390625" style="1" customWidth="1"/>
    <col min="46" max="46" width="9.25390625" style="1" hidden="1" customWidth="1"/>
    <col min="47" max="16384" width="9.00390625" style="1" customWidth="1"/>
  </cols>
  <sheetData>
    <row r="1" spans="1:45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105"/>
      <c r="AS1" s="139" t="s">
        <v>35</v>
      </c>
    </row>
    <row r="2" ht="10.5" customHeight="1">
      <c r="A2" s="8"/>
    </row>
    <row r="3" spans="1:44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156"/>
    </row>
    <row r="4" spans="1:46" s="9" customFormat="1" ht="45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7" t="s">
        <v>132</v>
      </c>
      <c r="AD4" s="72" t="s">
        <v>133</v>
      </c>
      <c r="AE4" s="357" t="s">
        <v>141</v>
      </c>
      <c r="AF4" s="358" t="s">
        <v>99</v>
      </c>
      <c r="AG4" s="37" t="s">
        <v>136</v>
      </c>
      <c r="AH4" s="72" t="s">
        <v>137</v>
      </c>
      <c r="AI4" s="358" t="s">
        <v>98</v>
      </c>
      <c r="AJ4" s="37" t="s">
        <v>144</v>
      </c>
      <c r="AK4" s="72" t="s">
        <v>145</v>
      </c>
      <c r="AL4" s="358" t="s">
        <v>100</v>
      </c>
      <c r="AM4" s="357" t="s">
        <v>101</v>
      </c>
      <c r="AN4" s="358" t="s">
        <v>102</v>
      </c>
      <c r="AO4" s="358" t="s">
        <v>103</v>
      </c>
      <c r="AP4" s="358" t="s">
        <v>104</v>
      </c>
      <c r="AQ4" s="357" t="s">
        <v>105</v>
      </c>
      <c r="AR4" s="225" t="s">
        <v>59</v>
      </c>
      <c r="AS4" s="219" t="s">
        <v>55</v>
      </c>
      <c r="AT4" s="96" t="s">
        <v>130</v>
      </c>
    </row>
    <row r="5" spans="1:46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 aca="true" t="shared" si="5" ref="AA5:AA11">Y5-Z5</f>
        <v>-433.5425341379887</v>
      </c>
      <c r="AB5" s="345">
        <f>48000-4909.13</f>
        <v>43090.87</v>
      </c>
      <c r="AC5" s="391">
        <v>43459.56</v>
      </c>
      <c r="AD5" s="354">
        <f aca="true" t="shared" si="6" ref="AD5:AD11">AB5-AC5</f>
        <v>-368.68999999999505</v>
      </c>
      <c r="AE5" s="359">
        <f aca="true" t="shared" si="7" ref="AE5:AE11">S5+Z5+AC5</f>
        <v>146013.65</v>
      </c>
      <c r="AF5" s="345">
        <f>48000+4573.76</f>
        <v>52573.76</v>
      </c>
      <c r="AG5" s="391">
        <v>52761</v>
      </c>
      <c r="AH5" s="354">
        <f aca="true" t="shared" si="8" ref="AH5:AH11">AF5-AG5</f>
        <v>-187.23999999999796</v>
      </c>
      <c r="AI5" s="345">
        <f>48000-4573.76+4099.73</f>
        <v>47525.97</v>
      </c>
      <c r="AJ5" s="391">
        <v>47804.35</v>
      </c>
      <c r="AK5" s="354">
        <f aca="true" t="shared" si="9" ref="AK5:AK11">AI5-AJ5</f>
        <v>-278.3799999999974</v>
      </c>
      <c r="AL5" s="345">
        <f>48000-4099.73</f>
        <v>43900.270000000004</v>
      </c>
      <c r="AM5" s="359">
        <f>AG5+AJ5+AL5</f>
        <v>144465.62</v>
      </c>
      <c r="AN5" s="345">
        <v>48000</v>
      </c>
      <c r="AO5" s="345">
        <v>31516.14</v>
      </c>
      <c r="AP5" s="345">
        <v>0</v>
      </c>
      <c r="AQ5" s="359">
        <f aca="true" t="shared" si="10" ref="AQ5:AQ11">AN5+AO5+AP5</f>
        <v>79516.14</v>
      </c>
      <c r="AR5" s="133">
        <f aca="true" t="shared" si="11" ref="AR5:AR11">Q5+AE5+AM5+AQ5</f>
        <v>517405.03</v>
      </c>
      <c r="AS5" s="90">
        <f>Q5+AE5+AG5+AJ5</f>
        <v>393988.62</v>
      </c>
      <c r="AT5" s="264"/>
    </row>
    <row r="6" spans="1:46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 t="shared" si="5"/>
        <v>-217.5500000000029</v>
      </c>
      <c r="AB6" s="345">
        <f>35000-227.67</f>
        <v>34772.33</v>
      </c>
      <c r="AC6" s="391">
        <v>34771.13</v>
      </c>
      <c r="AD6" s="345">
        <f t="shared" si="6"/>
        <v>1.2000000000043656</v>
      </c>
      <c r="AE6" s="359">
        <f t="shared" si="7"/>
        <v>105970.06</v>
      </c>
      <c r="AF6" s="345">
        <f>35000+149.84</f>
        <v>35149.84</v>
      </c>
      <c r="AG6" s="391">
        <v>35211.19</v>
      </c>
      <c r="AH6" s="354">
        <f t="shared" si="8"/>
        <v>-61.35000000000582</v>
      </c>
      <c r="AI6" s="345">
        <f>35000-149.84</f>
        <v>34850.16</v>
      </c>
      <c r="AJ6" s="391">
        <v>34744.57</v>
      </c>
      <c r="AK6" s="345">
        <f t="shared" si="9"/>
        <v>105.59000000000378</v>
      </c>
      <c r="AL6" s="345">
        <v>35000</v>
      </c>
      <c r="AM6" s="359">
        <f>AG6+AJ6+AL6</f>
        <v>104955.76000000001</v>
      </c>
      <c r="AN6" s="345">
        <v>35000</v>
      </c>
      <c r="AO6" s="345">
        <v>23683.13</v>
      </c>
      <c r="AP6" s="345">
        <v>0</v>
      </c>
      <c r="AQ6" s="359">
        <f t="shared" si="10"/>
        <v>58683.130000000005</v>
      </c>
      <c r="AR6" s="133">
        <f t="shared" si="11"/>
        <v>376395.27</v>
      </c>
      <c r="AS6" s="90">
        <f>Q6+AE6+AG6+AJ6</f>
        <v>282712.14</v>
      </c>
      <c r="AT6" s="265"/>
    </row>
    <row r="7" spans="1:46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t="shared" si="5"/>
        <v>-2804.44464150352</v>
      </c>
      <c r="AB7" s="345">
        <f>26000-2305.07</f>
        <v>23694.93</v>
      </c>
      <c r="AC7" s="391">
        <v>24619.66</v>
      </c>
      <c r="AD7" s="354">
        <f t="shared" si="6"/>
        <v>-924.7299999999996</v>
      </c>
      <c r="AE7" s="359">
        <f t="shared" si="7"/>
        <v>82420.51000000001</v>
      </c>
      <c r="AF7" s="345">
        <f>26000+2271.65</f>
        <v>28271.65</v>
      </c>
      <c r="AG7" s="391">
        <v>29076.51</v>
      </c>
      <c r="AH7" s="354">
        <f t="shared" si="8"/>
        <v>-804.859999999997</v>
      </c>
      <c r="AI7" s="345">
        <f>26000-2271.65+2297.33</f>
        <v>26025.68</v>
      </c>
      <c r="AJ7" s="391">
        <v>27912.67</v>
      </c>
      <c r="AK7" s="354">
        <f t="shared" si="9"/>
        <v>-1886.989999999998</v>
      </c>
      <c r="AL7" s="345">
        <f>26000-2297.33</f>
        <v>23702.67</v>
      </c>
      <c r="AM7" s="359">
        <f aca="true" t="shared" si="12" ref="AM7:AM13">AG7+AJ7+AL7</f>
        <v>80691.84999999999</v>
      </c>
      <c r="AN7" s="345">
        <v>26000</v>
      </c>
      <c r="AO7" s="345">
        <v>18759.34</v>
      </c>
      <c r="AP7" s="345">
        <v>0</v>
      </c>
      <c r="AQ7" s="359">
        <f t="shared" si="10"/>
        <v>44759.34</v>
      </c>
      <c r="AR7" s="133">
        <f t="shared" si="11"/>
        <v>296821.25</v>
      </c>
      <c r="AS7" s="90">
        <f aca="true" t="shared" si="13" ref="AS7:AS13">Q7+AE7+AG7+AJ7</f>
        <v>228359.24</v>
      </c>
      <c r="AT7" s="265"/>
    </row>
    <row r="8" spans="1:46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5"/>
        <v>-49752.77045819879</v>
      </c>
      <c r="AB8" s="345">
        <v>28000</v>
      </c>
      <c r="AC8" s="391">
        <v>65373.36</v>
      </c>
      <c r="AD8" s="354">
        <f t="shared" si="6"/>
        <v>-37373.36</v>
      </c>
      <c r="AE8" s="359">
        <f t="shared" si="7"/>
        <v>182625.57</v>
      </c>
      <c r="AF8" s="345">
        <f>28000+360.52</f>
        <v>28360.52</v>
      </c>
      <c r="AG8" s="391">
        <v>66645.11</v>
      </c>
      <c r="AH8" s="354">
        <f t="shared" si="8"/>
        <v>-38284.59</v>
      </c>
      <c r="AI8" s="345">
        <f>28000-360.52+1.17</f>
        <v>27640.649999999998</v>
      </c>
      <c r="AJ8" s="391">
        <v>66457.85</v>
      </c>
      <c r="AK8" s="354">
        <f t="shared" si="9"/>
        <v>-38817.20000000001</v>
      </c>
      <c r="AL8" s="345">
        <f>28000-1.17</f>
        <v>27998.83</v>
      </c>
      <c r="AM8" s="359">
        <f t="shared" si="12"/>
        <v>161101.79000000004</v>
      </c>
      <c r="AN8" s="345">
        <v>28000</v>
      </c>
      <c r="AO8" s="345">
        <v>17025.58</v>
      </c>
      <c r="AP8" s="345">
        <v>0</v>
      </c>
      <c r="AQ8" s="359">
        <f t="shared" si="10"/>
        <v>45025.58</v>
      </c>
      <c r="AR8" s="133">
        <f t="shared" si="11"/>
        <v>595899.64</v>
      </c>
      <c r="AS8" s="90">
        <f t="shared" si="13"/>
        <v>522875.23</v>
      </c>
      <c r="AT8" s="265"/>
    </row>
    <row r="9" spans="1:46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5"/>
        <v>-26775.90566895158</v>
      </c>
      <c r="AB9" s="345">
        <f>68000-1287.76+5196.34</f>
        <v>71908.58</v>
      </c>
      <c r="AC9" s="391">
        <v>100626.87</v>
      </c>
      <c r="AD9" s="354">
        <f t="shared" si="6"/>
        <v>-28718.289999999994</v>
      </c>
      <c r="AE9" s="359">
        <f t="shared" si="7"/>
        <v>266838.64</v>
      </c>
      <c r="AF9" s="345">
        <f>68000-5196.34+3044.85</f>
        <v>65848.51000000001</v>
      </c>
      <c r="AG9" s="391">
        <v>92177.52</v>
      </c>
      <c r="AH9" s="354">
        <f t="shared" si="8"/>
        <v>-26329.009999999995</v>
      </c>
      <c r="AI9" s="345">
        <f>68000-3044.85+5714.3</f>
        <v>70669.45</v>
      </c>
      <c r="AJ9" s="391">
        <v>93247.64</v>
      </c>
      <c r="AK9" s="354">
        <f t="shared" si="9"/>
        <v>-22578.190000000002</v>
      </c>
      <c r="AL9" s="345">
        <f>68000-5714.3</f>
        <v>62285.7</v>
      </c>
      <c r="AM9" s="359">
        <f t="shared" si="12"/>
        <v>247710.86</v>
      </c>
      <c r="AN9" s="345">
        <v>68000</v>
      </c>
      <c r="AO9" s="345">
        <v>12667.05</v>
      </c>
      <c r="AP9" s="345">
        <v>0</v>
      </c>
      <c r="AQ9" s="359">
        <f t="shared" si="10"/>
        <v>80667.05</v>
      </c>
      <c r="AR9" s="133">
        <f t="shared" si="11"/>
        <v>846878.55</v>
      </c>
      <c r="AS9" s="90">
        <f t="shared" si="13"/>
        <v>703925.8</v>
      </c>
      <c r="AT9" s="265"/>
    </row>
    <row r="10" spans="1:46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5"/>
        <v>-242.84820781231247</v>
      </c>
      <c r="AB10" s="345">
        <f>25000+149.2</f>
        <v>25149.2</v>
      </c>
      <c r="AC10" s="391">
        <v>25326.54</v>
      </c>
      <c r="AD10" s="354">
        <f t="shared" si="6"/>
        <v>-177.34000000000015</v>
      </c>
      <c r="AE10" s="359">
        <f t="shared" si="7"/>
        <v>77273.08</v>
      </c>
      <c r="AF10" s="345">
        <f>25000-149.2+427.78</f>
        <v>25278.579999999998</v>
      </c>
      <c r="AG10" s="391">
        <v>25278.58</v>
      </c>
      <c r="AH10" s="264">
        <f t="shared" si="8"/>
        <v>0</v>
      </c>
      <c r="AI10" s="345">
        <f>25000-427.78+728.4</f>
        <v>25300.620000000003</v>
      </c>
      <c r="AJ10" s="391">
        <v>25300.62</v>
      </c>
      <c r="AK10" s="345">
        <f t="shared" si="9"/>
        <v>0</v>
      </c>
      <c r="AL10" s="345">
        <f>25000-728.4</f>
        <v>24271.6</v>
      </c>
      <c r="AM10" s="359">
        <f t="shared" si="12"/>
        <v>74850.79999999999</v>
      </c>
      <c r="AN10" s="345">
        <v>20000</v>
      </c>
      <c r="AO10" s="345">
        <v>10828.19</v>
      </c>
      <c r="AP10" s="345">
        <v>0</v>
      </c>
      <c r="AQ10" s="359">
        <f t="shared" si="10"/>
        <v>30828.190000000002</v>
      </c>
      <c r="AR10" s="133">
        <f t="shared" si="11"/>
        <v>263708.93</v>
      </c>
      <c r="AS10" s="90">
        <f t="shared" si="13"/>
        <v>208609.14</v>
      </c>
      <c r="AT10" s="265"/>
    </row>
    <row r="11" spans="1:46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5"/>
        <v>-198.35848939578864</v>
      </c>
      <c r="AB11" s="345">
        <f>57000-12580.53+34124.63</f>
        <v>78544.1</v>
      </c>
      <c r="AC11" s="391">
        <v>79063.45</v>
      </c>
      <c r="AD11" s="354">
        <f t="shared" si="6"/>
        <v>-519.3499999999913</v>
      </c>
      <c r="AE11" s="359">
        <f t="shared" si="7"/>
        <v>206346.18</v>
      </c>
      <c r="AF11" s="345">
        <f>58780-34124.63+44919.57</f>
        <v>69574.94</v>
      </c>
      <c r="AG11" s="391">
        <v>69916.62</v>
      </c>
      <c r="AH11" s="354">
        <f t="shared" si="8"/>
        <v>-341.679999999993</v>
      </c>
      <c r="AI11" s="345">
        <f>58780-44919.57+54548.71</f>
        <v>68409.14</v>
      </c>
      <c r="AJ11" s="391">
        <v>68930.46</v>
      </c>
      <c r="AK11" s="354">
        <f t="shared" si="9"/>
        <v>-521.320000000007</v>
      </c>
      <c r="AL11" s="345">
        <f>58780-54548.71</f>
        <v>4231.290000000001</v>
      </c>
      <c r="AM11" s="359">
        <f t="shared" si="12"/>
        <v>143078.37000000002</v>
      </c>
      <c r="AN11" s="345">
        <v>55000</v>
      </c>
      <c r="AO11" s="345">
        <v>11780.57</v>
      </c>
      <c r="AP11" s="345">
        <v>0</v>
      </c>
      <c r="AQ11" s="359">
        <f t="shared" si="10"/>
        <v>66780.57</v>
      </c>
      <c r="AR11" s="133">
        <f t="shared" si="11"/>
        <v>585030.03</v>
      </c>
      <c r="AS11" s="90">
        <f t="shared" si="13"/>
        <v>514018.17</v>
      </c>
      <c r="AT11" s="265"/>
    </row>
    <row r="12" spans="1:46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4" ref="G12:M12">SUM(G5:G11)</f>
        <v>205261.1030769231</v>
      </c>
      <c r="H12" s="44">
        <f t="shared" si="14"/>
        <v>272549.07</v>
      </c>
      <c r="I12" s="44">
        <f t="shared" si="14"/>
        <v>5477.89</v>
      </c>
      <c r="J12" s="44">
        <f t="shared" si="14"/>
        <v>289870.7</v>
      </c>
      <c r="K12" s="44">
        <f t="shared" si="14"/>
        <v>341957.91000000003</v>
      </c>
      <c r="L12" s="44">
        <f t="shared" si="14"/>
        <v>-52087.210000000014</v>
      </c>
      <c r="M12" s="44">
        <f t="shared" si="14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15" ref="U12:AC12">SUM(U5:U11)</f>
        <v>268091.919375</v>
      </c>
      <c r="V12" s="44">
        <f t="shared" si="15"/>
        <v>1063.9400000000023</v>
      </c>
      <c r="W12" s="44">
        <f t="shared" si="15"/>
        <v>1846600</v>
      </c>
      <c r="X12" s="346">
        <f t="shared" si="15"/>
        <v>264743.92</v>
      </c>
      <c r="Y12" s="346">
        <f t="shared" si="15"/>
        <v>287118.02</v>
      </c>
      <c r="Z12" s="346">
        <f t="shared" si="15"/>
        <v>367543.43999999994</v>
      </c>
      <c r="AA12" s="346">
        <v>0</v>
      </c>
      <c r="AB12" s="346">
        <f t="shared" si="15"/>
        <v>305160.01</v>
      </c>
      <c r="AC12" s="346">
        <f t="shared" si="15"/>
        <v>373240.57</v>
      </c>
      <c r="AD12" s="346">
        <f>AD6</f>
        <v>1.2000000000043656</v>
      </c>
      <c r="AE12" s="423">
        <f>SUM(AE5:AE11)</f>
        <v>1067487.69</v>
      </c>
      <c r="AF12" s="44">
        <f>SUM(AF5:AF11)</f>
        <v>305057.8</v>
      </c>
      <c r="AG12" s="44">
        <f>SUM(AG5:AG11)</f>
        <v>371066.53</v>
      </c>
      <c r="AH12" s="44">
        <v>0</v>
      </c>
      <c r="AI12" s="44">
        <f aca="true" t="shared" si="16" ref="AI12:AT12">SUM(AI5:AI11)</f>
        <v>300421.67</v>
      </c>
      <c r="AJ12" s="44">
        <f>SUM(AJ5:AJ11)</f>
        <v>364398.16000000003</v>
      </c>
      <c r="AK12" s="44">
        <f>AK6</f>
        <v>105.59000000000378</v>
      </c>
      <c r="AL12" s="44">
        <f t="shared" si="16"/>
        <v>221390.36000000002</v>
      </c>
      <c r="AM12" s="44">
        <f t="shared" si="16"/>
        <v>956855.0499999999</v>
      </c>
      <c r="AN12" s="44">
        <f t="shared" si="16"/>
        <v>280000</v>
      </c>
      <c r="AO12" s="44">
        <f t="shared" si="16"/>
        <v>126260</v>
      </c>
      <c r="AP12" s="44">
        <f t="shared" si="16"/>
        <v>0</v>
      </c>
      <c r="AQ12" s="44">
        <f t="shared" si="16"/>
        <v>406260</v>
      </c>
      <c r="AR12" s="44">
        <f t="shared" si="16"/>
        <v>3482138.7</v>
      </c>
      <c r="AS12" s="43">
        <f t="shared" si="16"/>
        <v>2854488.3400000003</v>
      </c>
      <c r="AT12" s="228">
        <f t="shared" si="16"/>
        <v>0</v>
      </c>
    </row>
    <row r="13" spans="1:46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>Y13-Z13</f>
        <v>-9840</v>
      </c>
      <c r="AB13" s="345">
        <v>10000</v>
      </c>
      <c r="AC13" s="391">
        <v>20000</v>
      </c>
      <c r="AD13" s="354">
        <f>AB13-AC13</f>
        <v>-10000</v>
      </c>
      <c r="AE13" s="359">
        <f>S13+Z13+AC13</f>
        <v>49760</v>
      </c>
      <c r="AF13" s="345">
        <v>10000</v>
      </c>
      <c r="AG13" s="391">
        <v>16840</v>
      </c>
      <c r="AH13" s="354">
        <f>AF13-AG13</f>
        <v>-6840</v>
      </c>
      <c r="AI13" s="345">
        <v>10000</v>
      </c>
      <c r="AJ13" s="391">
        <v>14800</v>
      </c>
      <c r="AK13" s="354">
        <f>AI13-AJ13</f>
        <v>-4800</v>
      </c>
      <c r="AL13" s="345">
        <v>10000</v>
      </c>
      <c r="AM13" s="359">
        <f t="shared" si="12"/>
        <v>41640</v>
      </c>
      <c r="AN13" s="345">
        <v>10000</v>
      </c>
      <c r="AO13" s="345">
        <v>10000</v>
      </c>
      <c r="AP13" s="345">
        <v>7000</v>
      </c>
      <c r="AQ13" s="359">
        <f>AN13+AO13+AP13</f>
        <v>27000</v>
      </c>
      <c r="AR13" s="133">
        <f>Q13+AE13+AM13+AQ13</f>
        <v>162330</v>
      </c>
      <c r="AS13" s="90">
        <f t="shared" si="13"/>
        <v>125330</v>
      </c>
      <c r="AT13" s="265"/>
    </row>
    <row r="14" spans="1:46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17" ref="G14:M14">SUM(G13:G13)</f>
        <v>0</v>
      </c>
      <c r="H14" s="50">
        <f t="shared" si="17"/>
        <v>10000</v>
      </c>
      <c r="I14" s="50">
        <f t="shared" si="17"/>
        <v>0</v>
      </c>
      <c r="J14" s="50">
        <f t="shared" si="17"/>
        <v>10000</v>
      </c>
      <c r="K14" s="50">
        <f t="shared" si="17"/>
        <v>15600</v>
      </c>
      <c r="L14" s="50">
        <f t="shared" si="17"/>
        <v>-5600</v>
      </c>
      <c r="M14" s="50">
        <f t="shared" si="17"/>
        <v>10000</v>
      </c>
      <c r="N14" s="50"/>
      <c r="O14" s="50">
        <f>SUM(O13:O13)</f>
        <v>15960</v>
      </c>
      <c r="P14" s="50">
        <v>0</v>
      </c>
      <c r="Q14" s="187">
        <f aca="true" t="shared" si="18" ref="Q14:AC14">SUM(Q13:Q13)</f>
        <v>43930</v>
      </c>
      <c r="R14" s="187">
        <f t="shared" si="18"/>
        <v>10000</v>
      </c>
      <c r="S14" s="187">
        <f t="shared" si="18"/>
        <v>9920</v>
      </c>
      <c r="T14" s="187">
        <f t="shared" si="18"/>
        <v>80</v>
      </c>
      <c r="U14" s="50">
        <f t="shared" si="18"/>
        <v>0</v>
      </c>
      <c r="V14" s="50">
        <f t="shared" si="18"/>
        <v>0</v>
      </c>
      <c r="W14" s="50">
        <f t="shared" si="18"/>
        <v>77000</v>
      </c>
      <c r="X14" s="50">
        <f t="shared" si="18"/>
        <v>10000</v>
      </c>
      <c r="Y14" s="50">
        <f t="shared" si="18"/>
        <v>10000</v>
      </c>
      <c r="Z14" s="50">
        <f t="shared" si="18"/>
        <v>19840</v>
      </c>
      <c r="AA14" s="50">
        <v>0</v>
      </c>
      <c r="AB14" s="50">
        <f t="shared" si="18"/>
        <v>10000</v>
      </c>
      <c r="AC14" s="50">
        <f t="shared" si="18"/>
        <v>20000</v>
      </c>
      <c r="AD14" s="50"/>
      <c r="AE14" s="50">
        <f>SUM(AE13:AE13)</f>
        <v>49760</v>
      </c>
      <c r="AF14" s="50">
        <f>SUM(AF13:AF13)</f>
        <v>10000</v>
      </c>
      <c r="AG14" s="50">
        <f>SUM(AG13:AG13)</f>
        <v>16840</v>
      </c>
      <c r="AH14" s="50">
        <v>0</v>
      </c>
      <c r="AI14" s="50">
        <f aca="true" t="shared" si="19" ref="AI14:AT14">SUM(AI13:AI13)</f>
        <v>10000</v>
      </c>
      <c r="AJ14" s="50">
        <f>SUM(AJ13:AJ13)</f>
        <v>14800</v>
      </c>
      <c r="AK14" s="50">
        <v>0</v>
      </c>
      <c r="AL14" s="50">
        <f t="shared" si="19"/>
        <v>10000</v>
      </c>
      <c r="AM14" s="50">
        <f t="shared" si="19"/>
        <v>41640</v>
      </c>
      <c r="AN14" s="50">
        <f t="shared" si="19"/>
        <v>10000</v>
      </c>
      <c r="AO14" s="50">
        <f t="shared" si="19"/>
        <v>10000</v>
      </c>
      <c r="AP14" s="50">
        <f t="shared" si="19"/>
        <v>7000</v>
      </c>
      <c r="AQ14" s="50">
        <f t="shared" si="19"/>
        <v>27000</v>
      </c>
      <c r="AR14" s="50">
        <f t="shared" si="19"/>
        <v>162330</v>
      </c>
      <c r="AS14" s="50">
        <f t="shared" si="19"/>
        <v>125330</v>
      </c>
      <c r="AT14" s="50">
        <f t="shared" si="19"/>
        <v>0</v>
      </c>
    </row>
    <row r="15" spans="1:46" s="168" customFormat="1" ht="28.5" customHeight="1" thickBot="1">
      <c r="A15" s="166"/>
      <c r="B15" s="167" t="s">
        <v>4</v>
      </c>
      <c r="C15" s="43">
        <v>3643654.47</v>
      </c>
      <c r="D15" s="43">
        <f aca="true" t="shared" si="20" ref="D15:M15">D12+D14</f>
        <v>311450.93</v>
      </c>
      <c r="E15" s="43">
        <f t="shared" si="20"/>
        <v>346131.38999999996</v>
      </c>
      <c r="F15" s="35">
        <f t="shared" si="20"/>
        <v>5477.889999999999</v>
      </c>
      <c r="G15" s="43">
        <f t="shared" si="20"/>
        <v>205261.1030769231</v>
      </c>
      <c r="H15" s="43">
        <f t="shared" si="20"/>
        <v>282549.07</v>
      </c>
      <c r="I15" s="35">
        <f t="shared" si="20"/>
        <v>5477.89</v>
      </c>
      <c r="J15" s="43">
        <f t="shared" si="20"/>
        <v>299870.7</v>
      </c>
      <c r="K15" s="43">
        <f t="shared" si="20"/>
        <v>357557.91000000003</v>
      </c>
      <c r="L15" s="267">
        <f t="shared" si="20"/>
        <v>-57687.210000000014</v>
      </c>
      <c r="M15" s="43">
        <f t="shared" si="20"/>
        <v>288556.69</v>
      </c>
      <c r="N15" s="43"/>
      <c r="O15" s="43">
        <f aca="true" t="shared" si="21" ref="O15:AT15">O12+O14</f>
        <v>391776.66000000003</v>
      </c>
      <c r="P15" s="140">
        <f t="shared" si="21"/>
        <v>1.7300000000032014</v>
      </c>
      <c r="Q15" s="228">
        <f t="shared" si="21"/>
        <v>1095465.96</v>
      </c>
      <c r="R15" s="106">
        <f t="shared" si="21"/>
        <v>318855.64999999997</v>
      </c>
      <c r="S15" s="106">
        <f t="shared" si="21"/>
        <v>336623.68</v>
      </c>
      <c r="T15" s="140">
        <f t="shared" si="21"/>
        <v>1062.2099999999991</v>
      </c>
      <c r="U15" s="43">
        <f t="shared" si="21"/>
        <v>268091.919375</v>
      </c>
      <c r="V15" s="376">
        <f t="shared" si="21"/>
        <v>1063.9400000000023</v>
      </c>
      <c r="W15" s="43">
        <f t="shared" si="21"/>
        <v>1923600</v>
      </c>
      <c r="X15" s="43">
        <f t="shared" si="21"/>
        <v>274743.92</v>
      </c>
      <c r="Y15" s="43">
        <f t="shared" si="21"/>
        <v>297118.02</v>
      </c>
      <c r="Z15" s="43">
        <f t="shared" si="21"/>
        <v>387383.43999999994</v>
      </c>
      <c r="AA15" s="267">
        <f t="shared" si="21"/>
        <v>0</v>
      </c>
      <c r="AB15" s="43">
        <f t="shared" si="21"/>
        <v>315160.01</v>
      </c>
      <c r="AC15" s="43">
        <f t="shared" si="21"/>
        <v>393240.57</v>
      </c>
      <c r="AD15" s="140">
        <f t="shared" si="21"/>
        <v>1.2000000000043656</v>
      </c>
      <c r="AE15" s="228">
        <f t="shared" si="21"/>
        <v>1117247.69</v>
      </c>
      <c r="AF15" s="43">
        <f t="shared" si="21"/>
        <v>315057.8</v>
      </c>
      <c r="AG15" s="43">
        <f t="shared" si="21"/>
        <v>387906.53</v>
      </c>
      <c r="AH15" s="140">
        <f t="shared" si="21"/>
        <v>0</v>
      </c>
      <c r="AI15" s="43">
        <f t="shared" si="21"/>
        <v>310421.67</v>
      </c>
      <c r="AJ15" s="43">
        <f>AJ12+AJ14</f>
        <v>379198.16000000003</v>
      </c>
      <c r="AK15" s="140">
        <f>AK12+AK14</f>
        <v>105.59000000000378</v>
      </c>
      <c r="AL15" s="43">
        <f t="shared" si="21"/>
        <v>231390.36000000002</v>
      </c>
      <c r="AM15" s="43">
        <f t="shared" si="21"/>
        <v>998495.0499999999</v>
      </c>
      <c r="AN15" s="43">
        <f t="shared" si="21"/>
        <v>290000</v>
      </c>
      <c r="AO15" s="43">
        <f t="shared" si="21"/>
        <v>136260</v>
      </c>
      <c r="AP15" s="43">
        <f t="shared" si="21"/>
        <v>7000</v>
      </c>
      <c r="AQ15" s="43">
        <f t="shared" si="21"/>
        <v>433260</v>
      </c>
      <c r="AR15" s="43">
        <f t="shared" si="21"/>
        <v>3644468.7</v>
      </c>
      <c r="AS15" s="43">
        <f t="shared" si="21"/>
        <v>2979818.3400000003</v>
      </c>
      <c r="AT15" s="228">
        <f t="shared" si="21"/>
        <v>0</v>
      </c>
    </row>
    <row r="16" spans="1:45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S17*100/U15</f>
        <v>0.3968564224092822</v>
      </c>
      <c r="W16" s="144"/>
      <c r="X16" s="144"/>
      <c r="Y16" s="144"/>
      <c r="Z16" s="402" t="s">
        <v>64</v>
      </c>
      <c r="AA16" s="403">
        <f>-(AA15)</f>
        <v>0</v>
      </c>
      <c r="AB16" s="144"/>
      <c r="AC16" s="402" t="s">
        <v>64</v>
      </c>
      <c r="AD16" s="403">
        <f>-(AD5+AD7+AD8+AD9+AD10+AD11+AD13)</f>
        <v>78081.75999999998</v>
      </c>
      <c r="AE16" s="144"/>
      <c r="AF16" s="144"/>
      <c r="AG16" s="402" t="s">
        <v>64</v>
      </c>
      <c r="AH16" s="403">
        <f>-(AH5+AH6+AH7+AH8+AH9+AH11+AH13)</f>
        <v>72848.72999999998</v>
      </c>
      <c r="AI16" s="144"/>
      <c r="AJ16" s="402" t="s">
        <v>64</v>
      </c>
      <c r="AK16" s="403">
        <f>-(AK5+AK7+AK8+AK9+AK11+AK13)-83.06</f>
        <v>68799.02000000002</v>
      </c>
      <c r="AL16" s="431" t="s">
        <v>147</v>
      </c>
      <c r="AM16" s="432"/>
      <c r="AN16" s="433">
        <v>83.06</v>
      </c>
      <c r="AO16" s="144"/>
      <c r="AP16" s="144"/>
      <c r="AQ16" s="144"/>
      <c r="AR16" s="272"/>
      <c r="AS16" s="230"/>
    </row>
    <row r="17" spans="1:93" s="42" customFormat="1" ht="18.7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Q17" s="581" t="s">
        <v>106</v>
      </c>
      <c r="R17" s="582"/>
      <c r="S17" s="353">
        <f>P15+T15</f>
        <v>1063.9400000000023</v>
      </c>
      <c r="AR17" s="226"/>
      <c r="AS17" s="226"/>
      <c r="AT17" s="226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</row>
    <row r="18" spans="2:46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84</v>
      </c>
      <c r="N18" s="300" t="s">
        <v>77</v>
      </c>
      <c r="O18" s="299" t="s">
        <v>32</v>
      </c>
      <c r="P18" s="72" t="s">
        <v>49</v>
      </c>
      <c r="Q18" s="185" t="s">
        <v>58</v>
      </c>
      <c r="R18" s="311" t="s">
        <v>86</v>
      </c>
      <c r="S18" s="37" t="s">
        <v>95</v>
      </c>
      <c r="T18" s="72" t="s">
        <v>96</v>
      </c>
      <c r="U18" s="372"/>
      <c r="V18" s="390" t="s">
        <v>122</v>
      </c>
      <c r="W18" s="334" t="s">
        <v>97</v>
      </c>
      <c r="X18" s="311" t="s">
        <v>88</v>
      </c>
      <c r="Y18" s="377" t="s">
        <v>123</v>
      </c>
      <c r="Z18" s="37" t="s">
        <v>127</v>
      </c>
      <c r="AA18" s="72" t="s">
        <v>128</v>
      </c>
      <c r="AB18" s="311" t="s">
        <v>89</v>
      </c>
      <c r="AC18" s="37" t="s">
        <v>132</v>
      </c>
      <c r="AD18" s="72" t="s">
        <v>133</v>
      </c>
      <c r="AE18" s="185" t="s">
        <v>87</v>
      </c>
      <c r="AF18" s="358" t="s">
        <v>99</v>
      </c>
      <c r="AG18" s="37" t="s">
        <v>136</v>
      </c>
      <c r="AH18" s="72" t="s">
        <v>137</v>
      </c>
      <c r="AI18" s="358" t="s">
        <v>98</v>
      </c>
      <c r="AJ18" s="37" t="s">
        <v>144</v>
      </c>
      <c r="AK18" s="72" t="s">
        <v>145</v>
      </c>
      <c r="AL18" s="311" t="s">
        <v>113</v>
      </c>
      <c r="AM18" s="185" t="s">
        <v>101</v>
      </c>
      <c r="AN18" s="311" t="s">
        <v>114</v>
      </c>
      <c r="AO18" s="311" t="s">
        <v>115</v>
      </c>
      <c r="AP18" s="311" t="s">
        <v>116</v>
      </c>
      <c r="AQ18" s="185" t="s">
        <v>105</v>
      </c>
      <c r="AR18" s="225" t="s">
        <v>59</v>
      </c>
      <c r="AS18" s="219" t="s">
        <v>55</v>
      </c>
      <c r="AT18" s="96" t="s">
        <v>130</v>
      </c>
    </row>
    <row r="19" spans="2:46" s="28" customFormat="1" ht="27.7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M15+'MAR2022-R'!P21</f>
        <v>487743.3148636499</v>
      </c>
      <c r="N19" s="301">
        <f>M15+'MAR2022-R'!P21</f>
        <v>487743.3148636499</v>
      </c>
      <c r="O19" s="289">
        <f>O15+'MAR2022-R'!Q21</f>
        <v>759655.66</v>
      </c>
      <c r="P19" s="82">
        <f>P15+'MAR2022-R'!R21</f>
        <v>986.0518275625462</v>
      </c>
      <c r="Q19" s="291">
        <f>Q15+'IUL2022-R'!S21</f>
        <v>1966512.96</v>
      </c>
      <c r="R19" s="290">
        <f>R15+'APR2022-R'!T21</f>
        <v>520804.25</v>
      </c>
      <c r="S19" s="350">
        <f>S15+'APR2022-R'!U21</f>
        <v>529631.6799999999</v>
      </c>
      <c r="T19" s="290">
        <f>T15+'APR2022-R'!V21</f>
        <v>16602.81</v>
      </c>
      <c r="U19" s="290"/>
      <c r="V19" s="82">
        <f>V15+'APR2022-R'!X21</f>
        <v>17588.86182756255</v>
      </c>
      <c r="W19" s="301">
        <f>W15+'APR2022-R'!Y21</f>
        <v>3206000</v>
      </c>
      <c r="X19" s="290">
        <f>X15+'APR2022-R'!Z21</f>
        <v>468266.26</v>
      </c>
      <c r="Y19" s="379">
        <f>Y15+'MAI2022-R'!AA21</f>
        <v>518660.4418275626</v>
      </c>
      <c r="Z19" s="350">
        <f>Z15+'MAI2022-R'!AB21</f>
        <v>693094.44</v>
      </c>
      <c r="AA19" s="82">
        <f>'MAI2022-R'!AC21</f>
        <v>341</v>
      </c>
      <c r="AB19" s="290">
        <f>AB15+'IUL2022-R'!AD21</f>
        <v>512500.01</v>
      </c>
      <c r="AC19" s="350">
        <f>AC15+'IUL2022-R'!AE21</f>
        <v>679824.5700000001</v>
      </c>
      <c r="AD19" s="82">
        <f>AD15+'IUL2022-R'!AF21</f>
        <v>390.20000000000437</v>
      </c>
      <c r="AE19" s="370">
        <f>AE15+'IUL2022-R'!AG21</f>
        <v>1902550.69</v>
      </c>
      <c r="AF19" s="290">
        <f>AF15+'IUL2022-R'!AH21</f>
        <v>499277.8</v>
      </c>
      <c r="AG19" s="350">
        <f>AG15+'IUL2022-R'!AI21</f>
        <v>626636.53</v>
      </c>
      <c r="AH19" s="82">
        <f>AH15+'IUL2022-R'!AJ21</f>
        <v>1067</v>
      </c>
      <c r="AI19" s="290">
        <f>AI15+'AUG2022-R'!AK21</f>
        <v>506538.67</v>
      </c>
      <c r="AJ19" s="350">
        <f>AJ15+'AUG2022-R'!AL21</f>
        <v>673000.16</v>
      </c>
      <c r="AK19" s="82">
        <f>AK15+'AUG2022-R'!AM21</f>
        <v>895.5900000000038</v>
      </c>
      <c r="AL19" s="290">
        <f>AL15+'AUG2022-R'!AN21</f>
        <v>426378.2</v>
      </c>
      <c r="AM19" s="370">
        <f>AM15+'IUL2022-R'!AM21</f>
        <v>1628329.89</v>
      </c>
      <c r="AN19" s="290">
        <f>AN15+'APR2022-R'!AH21</f>
        <v>487043</v>
      </c>
      <c r="AO19" s="290">
        <f>AO15+'APR2022-R'!AI21</f>
        <v>233642.41502272003</v>
      </c>
      <c r="AP19" s="290">
        <f>AP15+'APR2022-R'!AJ21</f>
        <v>15314.58453192003</v>
      </c>
      <c r="AQ19" s="291">
        <f>AQ15+'APR2022-R'!AK21</f>
        <v>735999.99955464</v>
      </c>
      <c r="AR19" s="360">
        <f>AR15+'AUG2022-R'!AT21</f>
        <v>6331078.539554641</v>
      </c>
      <c r="AS19" s="361">
        <f>AS15+'AUG2022-R'!AU21</f>
        <v>5168700.34</v>
      </c>
      <c r="AT19" s="290"/>
    </row>
    <row r="20" spans="3:45" ht="41.25" customHeight="1" thickBot="1">
      <c r="C20" s="246" t="s">
        <v>125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N20" s="585" t="s">
        <v>91</v>
      </c>
      <c r="O20" s="586"/>
      <c r="P20" s="206">
        <f>P16+'MAR2022-R'!R22</f>
        <v>272898.39</v>
      </c>
      <c r="Q20" s="282"/>
      <c r="R20" s="585" t="s">
        <v>117</v>
      </c>
      <c r="S20" s="586"/>
      <c r="T20" s="206">
        <f>T16+'APR2022-R'!V22</f>
        <v>25430.23999999999</v>
      </c>
      <c r="U20" s="282"/>
      <c r="V20" s="282"/>
      <c r="W20" s="282"/>
      <c r="X20" s="371">
        <f>S17+'APR2022-R'!V24</f>
        <v>17588.86182756255</v>
      </c>
      <c r="Y20" s="585" t="s">
        <v>129</v>
      </c>
      <c r="Z20" s="586"/>
      <c r="AA20" s="401">
        <f>AA16+'MAI2022-R'!AB22</f>
        <v>84509.57895299152</v>
      </c>
      <c r="AB20" s="585" t="s">
        <v>135</v>
      </c>
      <c r="AC20" s="586"/>
      <c r="AD20" s="401">
        <f>AD16+'IUL2022-R'!AE22</f>
        <v>167504.75999999998</v>
      </c>
      <c r="AE20" s="282"/>
      <c r="AF20" s="282"/>
      <c r="AG20" s="585" t="s">
        <v>138</v>
      </c>
      <c r="AH20" s="586"/>
      <c r="AI20" s="401">
        <f>AH16+'IUL2022-R'!AJ22</f>
        <v>128425.72999999998</v>
      </c>
      <c r="AJ20" s="434" t="s">
        <v>146</v>
      </c>
      <c r="AK20" s="206">
        <f>AK16+'AUG2022-R'!AM22</f>
        <v>167274.02000000002</v>
      </c>
      <c r="AL20" s="435" t="s">
        <v>148</v>
      </c>
      <c r="AM20" s="436"/>
      <c r="AN20" s="437">
        <f>AN16</f>
        <v>83.06</v>
      </c>
      <c r="AO20" s="282"/>
      <c r="AP20" s="282"/>
      <c r="AQ20" s="282"/>
      <c r="AR20" s="330"/>
      <c r="AS20" s="331"/>
    </row>
    <row r="21" spans="2:45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412" t="s">
        <v>134</v>
      </c>
      <c r="AD21" s="413">
        <f>'IUL2022-R'!AF24</f>
        <v>210.00000000000182</v>
      </c>
      <c r="AE21" s="88"/>
      <c r="AF21" s="88"/>
      <c r="AG21" s="88"/>
      <c r="AH21" s="88"/>
      <c r="AI21" s="88">
        <f>AI20-82730</f>
        <v>45695.72999999998</v>
      </c>
      <c r="AJ21" s="88"/>
      <c r="AK21" s="438"/>
      <c r="AL21" s="439">
        <f>AK20+AN20</f>
        <v>167357.08000000002</v>
      </c>
      <c r="AM21" s="88"/>
      <c r="AN21" s="88"/>
      <c r="AO21" s="450" t="s">
        <v>151</v>
      </c>
      <c r="AP21" s="450"/>
      <c r="AQ21" s="450">
        <v>743000</v>
      </c>
      <c r="AR21" s="279" t="s">
        <v>70</v>
      </c>
      <c r="AS21" s="234">
        <f>AR19-7159300</f>
        <v>-828221.4604453593</v>
      </c>
    </row>
    <row r="22" spans="2:45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59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233" t="e">
        <f>#REF!</f>
        <v>#REF!</v>
      </c>
      <c r="AS22" s="41" t="e">
        <f>AS21-#REF!</f>
        <v>#REF!</v>
      </c>
    </row>
    <row r="23" spans="2:45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61" t="e">
        <f>C21+Q21-K22</f>
        <v>#REF!</v>
      </c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232">
        <v>667000</v>
      </c>
      <c r="AS23" s="211"/>
    </row>
    <row r="24" spans="2:45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5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116" t="e">
        <f>AR22-AR23</f>
        <v>#REF!</v>
      </c>
      <c r="AS24" s="36"/>
    </row>
    <row r="25" spans="2:45" ht="19.5" customHeight="1" hidden="1" thickBot="1">
      <c r="B25" s="188"/>
      <c r="C25" s="214">
        <v>72293.07</v>
      </c>
      <c r="D25" s="215"/>
      <c r="E25" s="215">
        <v>3323950</v>
      </c>
      <c r="Q25" s="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116"/>
      <c r="AS25" s="36"/>
    </row>
    <row r="26" spans="2:45" ht="25.5" customHeight="1" hidden="1" thickBot="1">
      <c r="B26" s="217"/>
      <c r="C26" s="218">
        <v>3982180</v>
      </c>
      <c r="Q26" s="152">
        <v>3982180</v>
      </c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210"/>
      <c r="AS26" s="212"/>
    </row>
    <row r="27" spans="2:45" ht="24" customHeight="1" thickBot="1">
      <c r="B27" s="188"/>
      <c r="C27" s="220"/>
      <c r="D27" s="221"/>
      <c r="E27" s="222"/>
      <c r="AO27" s="420" t="s">
        <v>152</v>
      </c>
      <c r="AP27" s="451"/>
      <c r="AQ27" s="455">
        <f>AQ19+AQ21</f>
        <v>1478999.9995546401</v>
      </c>
      <c r="AR27" s="446" t="s">
        <v>131</v>
      </c>
      <c r="AS27" s="447">
        <f>AA19+AD19+AH19+AK19</f>
        <v>2693.790000000008</v>
      </c>
    </row>
    <row r="28" spans="2:44" ht="25.5" customHeight="1" thickBot="1">
      <c r="B28" s="223" t="s">
        <v>60</v>
      </c>
      <c r="C28" s="244" t="s">
        <v>149</v>
      </c>
      <c r="D28" s="247" t="s">
        <v>118</v>
      </c>
      <c r="E28" s="183"/>
      <c r="F28" s="302"/>
      <c r="G28" s="302"/>
      <c r="H28" s="302"/>
      <c r="I28" s="302"/>
      <c r="J28" s="302"/>
      <c r="K28" s="302"/>
      <c r="L28" s="302"/>
      <c r="M28" s="302"/>
      <c r="N28" s="216"/>
      <c r="O28" s="216"/>
      <c r="P28" s="216"/>
      <c r="Q28" s="243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89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449" t="s">
        <v>150</v>
      </c>
    </row>
    <row r="29" spans="2:35" ht="25.5" customHeight="1" thickBot="1">
      <c r="B29" s="326" t="s">
        <v>92</v>
      </c>
      <c r="C29" s="327" t="s">
        <v>93</v>
      </c>
      <c r="D29" s="2" t="s">
        <v>120</v>
      </c>
      <c r="AF29" s="420"/>
      <c r="AG29" s="421"/>
      <c r="AH29" s="552"/>
      <c r="AI29" s="552"/>
    </row>
    <row r="30" spans="2:5" ht="25.5" customHeight="1" thickBot="1">
      <c r="B30" s="328" t="s">
        <v>94</v>
      </c>
      <c r="C30" s="329">
        <f>1773.9+500</f>
        <v>2273.9</v>
      </c>
      <c r="E30" s="26">
        <f>E19+K19+N19</f>
        <v>1694600.6148636497</v>
      </c>
    </row>
  </sheetData>
  <sheetProtection/>
  <mergeCells count="12">
    <mergeCell ref="G20:I20"/>
    <mergeCell ref="N20:O20"/>
    <mergeCell ref="AH29:AI29"/>
    <mergeCell ref="J16:K16"/>
    <mergeCell ref="J17:K17"/>
    <mergeCell ref="J20:K20"/>
    <mergeCell ref="Y20:Z20"/>
    <mergeCell ref="R16:S16"/>
    <mergeCell ref="R20:S20"/>
    <mergeCell ref="Q17:R17"/>
    <mergeCell ref="AG20:AH20"/>
    <mergeCell ref="AB20:AC20"/>
  </mergeCells>
  <printOptions/>
  <pageMargins left="0.17" right="0.17" top="0.48" bottom="0.21" header="0.68" footer="0.17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P69"/>
  <sheetViews>
    <sheetView workbookViewId="0" topLeftCell="B4">
      <pane xSplit="6720" ySplit="1530" topLeftCell="S13" activePane="bottomRight" state="split"/>
      <selection pane="topLeft" activeCell="AT4" sqref="AT1:AT16384"/>
      <selection pane="topRight" activeCell="AO4" sqref="AO1:AQ16384"/>
      <selection pane="bottomLeft" activeCell="S21" sqref="S21"/>
      <selection pane="bottomRight" activeCell="AB12" sqref="AB12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9.75390625" style="69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9.00390625" style="8" customWidth="1"/>
    <col min="20" max="20" width="8.625" style="313" hidden="1" customWidth="1"/>
    <col min="21" max="21" width="8.625" style="313" customWidth="1"/>
    <col min="22" max="24" width="8.625" style="313" hidden="1" customWidth="1"/>
    <col min="25" max="25" width="8.625" style="313" customWidth="1"/>
    <col min="26" max="26" width="7.50390625" style="313" hidden="1" customWidth="1"/>
    <col min="27" max="28" width="8.375" style="313" customWidth="1"/>
    <col min="29" max="29" width="8.875" style="313" customWidth="1"/>
    <col min="30" max="30" width="7.50390625" style="313" customWidth="1"/>
    <col min="31" max="31" width="8.375" style="313" customWidth="1"/>
    <col min="32" max="32" width="8.50390625" style="313" customWidth="1"/>
    <col min="33" max="33" width="9.50390625" style="313" customWidth="1"/>
    <col min="34" max="34" width="8.375" style="313" customWidth="1"/>
    <col min="35" max="36" width="8.875" style="313" customWidth="1"/>
    <col min="37" max="38" width="7.75390625" style="313" bestFit="1" customWidth="1"/>
    <col min="39" max="39" width="8.75390625" style="313" hidden="1" customWidth="1"/>
    <col min="40" max="40" width="7.75390625" style="313" bestFit="1" customWidth="1"/>
    <col min="41" max="41" width="7.75390625" style="313" hidden="1" customWidth="1"/>
    <col min="42" max="42" width="6.875" style="313" hidden="1" customWidth="1"/>
    <col min="43" max="43" width="8.625" style="313" hidden="1" customWidth="1"/>
    <col min="44" max="44" width="10.125" style="26" bestFit="1" customWidth="1"/>
    <col min="45" max="45" width="11.00390625" style="2" customWidth="1"/>
    <col min="46" max="46" width="9.25390625" style="1" hidden="1" customWidth="1"/>
    <col min="47" max="47" width="11.25390625" style="1" customWidth="1"/>
    <col min="48" max="16384" width="9.00390625" style="1" customWidth="1"/>
  </cols>
  <sheetData>
    <row r="1" spans="1:45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25"/>
      <c r="AS1" s="13"/>
    </row>
    <row r="2" ht="43.5" customHeight="1">
      <c r="A2" s="8"/>
    </row>
    <row r="3" spans="1:45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25"/>
      <c r="AS3" s="13"/>
    </row>
    <row r="4" spans="1:46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409" t="s">
        <v>132</v>
      </c>
      <c r="AF4" s="408" t="s">
        <v>133</v>
      </c>
      <c r="AG4" s="185" t="s">
        <v>140</v>
      </c>
      <c r="AH4" s="311" t="s">
        <v>111</v>
      </c>
      <c r="AI4" s="37" t="s">
        <v>136</v>
      </c>
      <c r="AJ4" s="72" t="s">
        <v>143</v>
      </c>
      <c r="AK4" s="311" t="s">
        <v>112</v>
      </c>
      <c r="AL4" s="343" t="s">
        <v>113</v>
      </c>
      <c r="AM4" s="185" t="s">
        <v>101</v>
      </c>
      <c r="AN4" s="311" t="s">
        <v>114</v>
      </c>
      <c r="AO4" s="311" t="s">
        <v>115</v>
      </c>
      <c r="AP4" s="343" t="s">
        <v>116</v>
      </c>
      <c r="AQ4" s="185" t="s">
        <v>105</v>
      </c>
      <c r="AR4" s="225" t="s">
        <v>59</v>
      </c>
      <c r="AS4" s="219" t="s">
        <v>55</v>
      </c>
      <c r="AT4" s="96" t="s">
        <v>130</v>
      </c>
    </row>
    <row r="5" spans="1:46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407">
        <v>98996</v>
      </c>
      <c r="AF5" s="363">
        <f>AD5-AE5</f>
        <v>4</v>
      </c>
      <c r="AG5" s="78">
        <f>U5+AB5+AE5</f>
        <v>288554</v>
      </c>
      <c r="AH5" s="362">
        <v>99000</v>
      </c>
      <c r="AI5" s="407">
        <v>98993</v>
      </c>
      <c r="AJ5" s="362">
        <f>AH5-AI5</f>
        <v>7</v>
      </c>
      <c r="AK5" s="362">
        <v>99000</v>
      </c>
      <c r="AL5" s="363">
        <v>99000</v>
      </c>
      <c r="AM5" s="78">
        <f>AI5+AK5+AL5</f>
        <v>296993</v>
      </c>
      <c r="AN5" s="362">
        <v>99000</v>
      </c>
      <c r="AO5" s="362">
        <v>19719.81300700002</v>
      </c>
      <c r="AP5" s="363">
        <v>0</v>
      </c>
      <c r="AQ5" s="78">
        <f>AN5+AO5+AP5</f>
        <v>118719.81300700002</v>
      </c>
      <c r="AR5" s="415">
        <f>S5+AG5+AM5+AQ5</f>
        <v>1003574.813007</v>
      </c>
      <c r="AS5" s="148">
        <f>S5+AG5+AI5</f>
        <v>686855</v>
      </c>
      <c r="AT5" s="86"/>
    </row>
    <row r="6" spans="1:46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M6*M22/100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40000-9479+11250</f>
        <v>41771</v>
      </c>
      <c r="AE6" s="79">
        <v>45419</v>
      </c>
      <c r="AF6" s="352">
        <f>AD6-AE6</f>
        <v>-3648</v>
      </c>
      <c r="AG6" s="77">
        <f>U6+AB6+AE6</f>
        <v>140945</v>
      </c>
      <c r="AH6" s="83">
        <f>40000-11250</f>
        <v>28750</v>
      </c>
      <c r="AI6" s="79">
        <v>32627</v>
      </c>
      <c r="AJ6" s="418">
        <f>AH6-AI6</f>
        <v>-3877</v>
      </c>
      <c r="AK6" s="83">
        <v>40000</v>
      </c>
      <c r="AL6" s="364">
        <v>40000</v>
      </c>
      <c r="AM6" s="77">
        <f>AI6+AK6+AL6</f>
        <v>112627</v>
      </c>
      <c r="AN6" s="83">
        <v>40000</v>
      </c>
      <c r="AO6" s="83">
        <v>29643.709310200007</v>
      </c>
      <c r="AP6" s="364">
        <v>0</v>
      </c>
      <c r="AQ6" s="77">
        <f>AN6+AO6+AP6</f>
        <v>69643.7093102</v>
      </c>
      <c r="AR6" s="416">
        <f>S6+AG6+AM6+AQ6</f>
        <v>488982.7093102</v>
      </c>
      <c r="AS6" s="149">
        <f>S6+AG6+AI6</f>
        <v>339339</v>
      </c>
      <c r="AT6" s="87"/>
    </row>
    <row r="7" spans="1:46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M7*M22/100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W7*X24/100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>AA7-AB7</f>
        <v>-78424.99874254865</v>
      </c>
      <c r="AD7" s="364">
        <f>20000-750.53+2075.53</f>
        <v>21325</v>
      </c>
      <c r="AE7" s="79">
        <v>106925</v>
      </c>
      <c r="AF7" s="352">
        <f aca="true" t="shared" si="0" ref="AF7:AF19">AD7-AE7</f>
        <v>-85600</v>
      </c>
      <c r="AG7" s="77">
        <f aca="true" t="shared" si="1" ref="AG7:AG19">U7+AB7+AE7</f>
        <v>248085</v>
      </c>
      <c r="AH7" s="83">
        <f>20000-2075.53+160.53</f>
        <v>18085</v>
      </c>
      <c r="AI7" s="79">
        <v>68585</v>
      </c>
      <c r="AJ7" s="418">
        <f aca="true" t="shared" si="2" ref="AJ7:AJ19">AH7-AI7</f>
        <v>-50500</v>
      </c>
      <c r="AK7" s="83">
        <f>20000-160.53</f>
        <v>19839.47</v>
      </c>
      <c r="AL7" s="364">
        <v>20000</v>
      </c>
      <c r="AM7" s="77">
        <f aca="true" t="shared" si="3" ref="AM7:AM19">AI7+AK7+AL7</f>
        <v>108424.47</v>
      </c>
      <c r="AN7" s="83">
        <v>20623</v>
      </c>
      <c r="AO7" s="83">
        <v>20000.19</v>
      </c>
      <c r="AP7" s="364">
        <v>0.0030900000165274832</v>
      </c>
      <c r="AQ7" s="77">
        <f>AN7+AO7+AP7</f>
        <v>40623.193090000015</v>
      </c>
      <c r="AR7" s="416">
        <f>S7+AG7+AM7+AQ7</f>
        <v>705312.6630899999</v>
      </c>
      <c r="AS7" s="149">
        <f aca="true" t="shared" si="4" ref="AS7:AS19">S7+AG7+AI7</f>
        <v>624850</v>
      </c>
      <c r="AT7" s="87"/>
    </row>
    <row r="8" spans="1:46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>D8-E8</f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>H8+I8+1121.78</f>
        <v>12357.004863649889</v>
      </c>
      <c r="K8" s="45">
        <v>12357</v>
      </c>
      <c r="L8" s="32">
        <f>J8-K8</f>
        <v>0.0048636498886480695</v>
      </c>
      <c r="M8" s="268">
        <f>(C8+E8+K8)/14</f>
        <v>13134.07142857143</v>
      </c>
      <c r="N8" s="33">
        <f>11966.32-1121.78</f>
        <v>10844.539999999999</v>
      </c>
      <c r="O8" s="268">
        <f>M8*M22/100</f>
        <v>238.97182756254446</v>
      </c>
      <c r="P8" s="298">
        <f>N8+O8</f>
        <v>11083.511827562543</v>
      </c>
      <c r="Q8" s="45">
        <v>11083</v>
      </c>
      <c r="R8" s="32">
        <f>P8-Q8</f>
        <v>0.5118275625427486</v>
      </c>
      <c r="S8" s="77">
        <f>E8+K8+Q8</f>
        <v>36577</v>
      </c>
      <c r="T8" s="315">
        <f>12087.19+1111.81</f>
        <v>13199</v>
      </c>
      <c r="U8" s="337">
        <v>13199</v>
      </c>
      <c r="V8" s="315">
        <f>T8-U8</f>
        <v>0</v>
      </c>
      <c r="W8" s="265">
        <f>(C8+S8+U8)/16</f>
        <v>13009.9375</v>
      </c>
      <c r="X8" s="315">
        <f>W8*X24/100</f>
        <v>1797.1807805540595</v>
      </c>
      <c r="Y8" s="341">
        <v>77123.49</v>
      </c>
      <c r="Z8" s="83">
        <f>12000-1111.81</f>
        <v>10888.19</v>
      </c>
      <c r="AA8" s="394">
        <f>X8+Z8+1265.63</f>
        <v>13951.000780554059</v>
      </c>
      <c r="AB8" s="397">
        <v>13951</v>
      </c>
      <c r="AC8" s="395">
        <f>AA8-AB8</f>
        <v>0.0007805540590197779</v>
      </c>
      <c r="AD8" s="364">
        <f>12000-1265.63+9.63</f>
        <v>10743.999999999998</v>
      </c>
      <c r="AE8" s="79">
        <v>10954</v>
      </c>
      <c r="AF8" s="410">
        <f t="shared" si="0"/>
        <v>-210.00000000000182</v>
      </c>
      <c r="AG8" s="77">
        <f t="shared" si="1"/>
        <v>38104</v>
      </c>
      <c r="AH8" s="83">
        <f>12000-9.63+1174.63</f>
        <v>13165</v>
      </c>
      <c r="AI8" s="79">
        <v>13165</v>
      </c>
      <c r="AJ8" s="83">
        <f t="shared" si="2"/>
        <v>0</v>
      </c>
      <c r="AK8" s="83">
        <f>12000-1174.63</f>
        <v>10825.369999999999</v>
      </c>
      <c r="AL8" s="364">
        <v>12000</v>
      </c>
      <c r="AM8" s="77">
        <f t="shared" si="3"/>
        <v>35990.369999999995</v>
      </c>
      <c r="AN8" s="83">
        <v>12000</v>
      </c>
      <c r="AO8" s="83">
        <v>5123.493752520008</v>
      </c>
      <c r="AP8" s="364">
        <v>0</v>
      </c>
      <c r="AQ8" s="77">
        <f>AN8+AO8+AP8</f>
        <v>17123.493752520008</v>
      </c>
      <c r="AR8" s="416">
        <f>S8+AG8+AM8+AQ8</f>
        <v>127794.86375252</v>
      </c>
      <c r="AS8" s="149">
        <f t="shared" si="4"/>
        <v>87846</v>
      </c>
      <c r="AT8" s="87"/>
    </row>
    <row r="9" spans="1:46" s="5" customFormat="1" ht="26.25" customHeigh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>D9-E9</f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>H9+I9+669.26</f>
        <v>7429.99983933246</v>
      </c>
      <c r="K9" s="45">
        <v>7745</v>
      </c>
      <c r="L9" s="204">
        <f>J9-K9</f>
        <v>-315.0001606675396</v>
      </c>
      <c r="M9" s="268">
        <f>(C9+E9+K9)/14</f>
        <v>7917.5</v>
      </c>
      <c r="N9" s="33">
        <f>7170.08-669.26</f>
        <v>6500.82</v>
      </c>
      <c r="O9" s="268">
        <f>M9*M22/100</f>
        <v>144.05734391016952</v>
      </c>
      <c r="P9" s="298">
        <f>N9+O9</f>
        <v>6644.87734391017</v>
      </c>
      <c r="Q9" s="45">
        <v>6850</v>
      </c>
      <c r="R9" s="204">
        <f>P9-Q9</f>
        <v>-205.12265608983034</v>
      </c>
      <c r="S9" s="77">
        <f>E9+K9+Q9</f>
        <v>22320</v>
      </c>
      <c r="T9" s="315">
        <f>7242.51+722.49</f>
        <v>7965</v>
      </c>
      <c r="U9" s="337">
        <v>7965</v>
      </c>
      <c r="V9" s="315">
        <f>T9-U9</f>
        <v>0</v>
      </c>
      <c r="W9" s="265">
        <f>(C9+S9+U9)/16</f>
        <v>7853.75</v>
      </c>
      <c r="X9" s="315">
        <f>W9*X24/100</f>
        <v>1084.9097895571324</v>
      </c>
      <c r="Y9" s="341">
        <v>46932.6</v>
      </c>
      <c r="Z9" s="83">
        <f>7000-722.49</f>
        <v>6277.51</v>
      </c>
      <c r="AA9" s="394">
        <f>X9+Z9</f>
        <v>7362.419789557132</v>
      </c>
      <c r="AB9" s="397">
        <v>7560</v>
      </c>
      <c r="AC9" s="400">
        <f>AA9-AB9</f>
        <v>-197.5802104428676</v>
      </c>
      <c r="AD9" s="364">
        <v>7000</v>
      </c>
      <c r="AE9" s="79">
        <v>7175</v>
      </c>
      <c r="AF9" s="352">
        <f t="shared" si="0"/>
        <v>-175</v>
      </c>
      <c r="AG9" s="77">
        <f t="shared" si="1"/>
        <v>22700</v>
      </c>
      <c r="AH9" s="83">
        <v>7000</v>
      </c>
      <c r="AI9" s="79">
        <v>8200</v>
      </c>
      <c r="AJ9" s="418">
        <f t="shared" si="2"/>
        <v>-1200</v>
      </c>
      <c r="AK9" s="83">
        <v>7000</v>
      </c>
      <c r="AL9" s="364">
        <v>7000</v>
      </c>
      <c r="AM9" s="77">
        <f t="shared" si="3"/>
        <v>22200</v>
      </c>
      <c r="AN9" s="83">
        <v>7000</v>
      </c>
      <c r="AO9" s="83">
        <v>4932.596685000004</v>
      </c>
      <c r="AP9" s="364">
        <v>0</v>
      </c>
      <c r="AQ9" s="77">
        <f>AN9+AO9+AP9</f>
        <v>11932.596685000004</v>
      </c>
      <c r="AR9" s="416">
        <f>S9+AG9+AM9+AQ9</f>
        <v>79152.596685</v>
      </c>
      <c r="AS9" s="149">
        <f t="shared" si="4"/>
        <v>53220</v>
      </c>
      <c r="AT9" s="87"/>
    </row>
    <row r="10" spans="1:46" s="5" customFormat="1" ht="20.25" customHeight="1">
      <c r="A10" s="4"/>
      <c r="B10" s="125" t="s">
        <v>1</v>
      </c>
      <c r="C10" s="47">
        <v>3105146</v>
      </c>
      <c r="D10" s="47">
        <f>SUM(D5:D9)</f>
        <v>185273.01</v>
      </c>
      <c r="E10" s="47">
        <f>SUM(E5:E9)</f>
        <v>243687</v>
      </c>
      <c r="F10" s="47">
        <f>F5+F8</f>
        <v>4125.550000000003</v>
      </c>
      <c r="G10" s="47">
        <f>SUM(G5:G9)</f>
        <v>173459</v>
      </c>
      <c r="H10" s="47">
        <f>SUM(H5:H9)</f>
        <v>181276.47</v>
      </c>
      <c r="I10" s="47">
        <f>SUM(I5:I9)</f>
        <v>5312.620000000002</v>
      </c>
      <c r="J10" s="47">
        <f>SUM(J5:J9)</f>
        <v>188535.34</v>
      </c>
      <c r="K10" s="47">
        <f>SUM(K5:K9)</f>
        <v>234311</v>
      </c>
      <c r="L10" s="47">
        <f>L5+L8</f>
        <v>10.36486364988923</v>
      </c>
      <c r="M10" s="47">
        <f>SUM(M5:M9)</f>
        <v>170588</v>
      </c>
      <c r="N10" s="47">
        <f>SUM(N5:N9)</f>
        <v>181350.30000000002</v>
      </c>
      <c r="O10" s="47">
        <f>SUM(O5:O9)</f>
        <v>3103.8148636498895</v>
      </c>
      <c r="P10" s="47">
        <f>SUM(P5:P9)</f>
        <v>184483.17486364988</v>
      </c>
      <c r="Q10" s="47">
        <f>SUM(Q5:Q9)</f>
        <v>354154</v>
      </c>
      <c r="R10" s="47">
        <f>R5+R8</f>
        <v>5.871827562543331</v>
      </c>
      <c r="S10" s="47">
        <f>SUM(S5:S9)</f>
        <v>832152</v>
      </c>
      <c r="T10" s="335">
        <f>SUM(T5:T9)</f>
        <v>187096.62</v>
      </c>
      <c r="U10" s="335">
        <f>SUM(U5:U9)</f>
        <v>180368</v>
      </c>
      <c r="V10" s="335">
        <f>V5+V6</f>
        <v>13328.620000000003</v>
      </c>
      <c r="W10" s="347">
        <f aca="true" t="shared" si="5" ref="W10:AB10">SUM(W5:W9)</f>
        <v>119625.25</v>
      </c>
      <c r="X10" s="347">
        <f t="shared" si="5"/>
        <v>16524.921827562546</v>
      </c>
      <c r="Y10" s="347">
        <f t="shared" si="5"/>
        <v>1148042.8</v>
      </c>
      <c r="Z10" s="347">
        <f t="shared" si="5"/>
        <v>176022.34000000003</v>
      </c>
      <c r="AA10" s="347">
        <f t="shared" si="5"/>
        <v>204042.42182756256</v>
      </c>
      <c r="AB10" s="347">
        <f t="shared" si="5"/>
        <v>288551</v>
      </c>
      <c r="AC10" s="347">
        <f>AC5</f>
        <v>1</v>
      </c>
      <c r="AD10" s="381">
        <f aca="true" t="shared" si="6" ref="AD10:AT10">SUM(AD5:AD9)</f>
        <v>179840</v>
      </c>
      <c r="AE10" s="369">
        <f>SUM(AE5:AE9)</f>
        <v>269469</v>
      </c>
      <c r="AF10" s="369">
        <f>AF5</f>
        <v>4</v>
      </c>
      <c r="AG10" s="347">
        <f t="shared" si="6"/>
        <v>738388</v>
      </c>
      <c r="AH10" s="347">
        <f t="shared" si="6"/>
        <v>166000</v>
      </c>
      <c r="AI10" s="347">
        <f>SUM(AI5:AI9)</f>
        <v>221570</v>
      </c>
      <c r="AJ10" s="347">
        <f>AJ5</f>
        <v>7</v>
      </c>
      <c r="AK10" s="347">
        <f t="shared" si="6"/>
        <v>176664.84</v>
      </c>
      <c r="AL10" s="347">
        <f t="shared" si="6"/>
        <v>178000</v>
      </c>
      <c r="AM10" s="347">
        <f t="shared" si="6"/>
        <v>576234.84</v>
      </c>
      <c r="AN10" s="347">
        <f t="shared" si="6"/>
        <v>178623</v>
      </c>
      <c r="AO10" s="347">
        <f t="shared" si="6"/>
        <v>79419.80275472003</v>
      </c>
      <c r="AP10" s="347">
        <f t="shared" si="6"/>
        <v>0.0030900000165274832</v>
      </c>
      <c r="AQ10" s="369">
        <f t="shared" si="6"/>
        <v>258042.80584472005</v>
      </c>
      <c r="AR10" s="47">
        <f t="shared" si="6"/>
        <v>2404817.6458447203</v>
      </c>
      <c r="AS10" s="47">
        <f t="shared" si="6"/>
        <v>1792110</v>
      </c>
      <c r="AT10" s="47">
        <f t="shared" si="6"/>
        <v>0</v>
      </c>
    </row>
    <row r="11" spans="1:46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aca="true" t="shared" si="7" ref="F11:F19">D11-E11</f>
        <v>0</v>
      </c>
      <c r="G11" s="32"/>
      <c r="H11" s="24">
        <v>0</v>
      </c>
      <c r="I11" s="23"/>
      <c r="J11" s="181">
        <f aca="true" t="shared" si="8" ref="J11:J19">H11+I11</f>
        <v>0</v>
      </c>
      <c r="K11" s="45"/>
      <c r="L11" s="32">
        <f aca="true" t="shared" si="9" ref="L11:L19">J11-K11</f>
        <v>0</v>
      </c>
      <c r="M11" s="32"/>
      <c r="N11" s="33">
        <v>0</v>
      </c>
      <c r="O11" s="32"/>
      <c r="P11" s="298">
        <f aca="true" t="shared" si="10" ref="P11:P19">N11+O11</f>
        <v>0</v>
      </c>
      <c r="Q11" s="45"/>
      <c r="R11" s="32"/>
      <c r="S11" s="77">
        <f aca="true" t="shared" si="11" ref="S11:S19">E11+K11+Q11</f>
        <v>0</v>
      </c>
      <c r="T11" s="315">
        <v>0</v>
      </c>
      <c r="U11" s="337"/>
      <c r="V11" s="315">
        <f aca="true" t="shared" si="12" ref="V11:V19">T11-U11</f>
        <v>0</v>
      </c>
      <c r="W11" s="265">
        <v>0</v>
      </c>
      <c r="X11" s="315"/>
      <c r="Y11" s="341"/>
      <c r="Z11" s="83"/>
      <c r="AA11" s="393">
        <f aca="true" t="shared" si="13" ref="AA11:AA19">X11+Z11</f>
        <v>0</v>
      </c>
      <c r="AB11" s="396"/>
      <c r="AC11" s="395">
        <f aca="true" t="shared" si="14" ref="AC11:AC19">AA11-AB11</f>
        <v>0</v>
      </c>
      <c r="AD11" s="364"/>
      <c r="AE11" s="79"/>
      <c r="AF11" s="364">
        <f t="shared" si="0"/>
        <v>0</v>
      </c>
      <c r="AG11" s="77">
        <f t="shared" si="1"/>
        <v>0</v>
      </c>
      <c r="AH11" s="265"/>
      <c r="AI11" s="337"/>
      <c r="AJ11" s="83">
        <f t="shared" si="2"/>
        <v>0</v>
      </c>
      <c r="AK11" s="265"/>
      <c r="AL11" s="315"/>
      <c r="AM11" s="77">
        <f t="shared" si="3"/>
        <v>0</v>
      </c>
      <c r="AN11" s="265"/>
      <c r="AO11" s="265"/>
      <c r="AP11" s="315"/>
      <c r="AQ11" s="77">
        <f aca="true" t="shared" si="15" ref="AQ11:AQ19">AN11+AO11+AP11</f>
        <v>0</v>
      </c>
      <c r="AR11" s="416">
        <f aca="true" t="shared" si="16" ref="AR11:AR19">S11+AG11+AM11+AQ11</f>
        <v>0</v>
      </c>
      <c r="AS11" s="149">
        <f t="shared" si="4"/>
        <v>0</v>
      </c>
      <c r="AT11" s="87"/>
    </row>
    <row r="12" spans="1:46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7"/>
        <v>12.069999999999936</v>
      </c>
      <c r="G12" s="32"/>
      <c r="H12" s="24">
        <v>1268.31</v>
      </c>
      <c r="I12" s="23"/>
      <c r="J12" s="181">
        <f t="shared" si="8"/>
        <v>1268.31</v>
      </c>
      <c r="K12" s="45">
        <v>1260</v>
      </c>
      <c r="L12" s="32">
        <f t="shared" si="9"/>
        <v>8.309999999999945</v>
      </c>
      <c r="M12" s="32"/>
      <c r="N12" s="33">
        <v>1268.31</v>
      </c>
      <c r="O12" s="32"/>
      <c r="P12" s="298">
        <f t="shared" si="10"/>
        <v>1268.31</v>
      </c>
      <c r="Q12" s="45">
        <v>1260</v>
      </c>
      <c r="R12" s="32">
        <f aca="true" t="shared" si="17" ref="R12:R19">P12-Q12</f>
        <v>8.309999999999945</v>
      </c>
      <c r="S12" s="77">
        <f t="shared" si="11"/>
        <v>3780</v>
      </c>
      <c r="T12" s="315">
        <v>1281.12</v>
      </c>
      <c r="U12" s="337">
        <v>1260</v>
      </c>
      <c r="V12" s="315">
        <f t="shared" si="12"/>
        <v>21.11999999999989</v>
      </c>
      <c r="W12" s="265">
        <v>0</v>
      </c>
      <c r="X12" s="315"/>
      <c r="Y12" s="341">
        <v>8301.85</v>
      </c>
      <c r="Z12" s="83">
        <v>960</v>
      </c>
      <c r="AA12" s="393">
        <f t="shared" si="13"/>
        <v>960</v>
      </c>
      <c r="AB12" s="396">
        <v>960</v>
      </c>
      <c r="AC12" s="395">
        <f t="shared" si="14"/>
        <v>0</v>
      </c>
      <c r="AD12" s="364">
        <v>960</v>
      </c>
      <c r="AE12" s="79">
        <v>960</v>
      </c>
      <c r="AF12" s="364">
        <f t="shared" si="0"/>
        <v>0</v>
      </c>
      <c r="AG12" s="77">
        <f t="shared" si="1"/>
        <v>3180</v>
      </c>
      <c r="AH12" s="83">
        <v>1200</v>
      </c>
      <c r="AI12" s="79">
        <v>1200</v>
      </c>
      <c r="AJ12" s="83">
        <f t="shared" si="2"/>
        <v>0</v>
      </c>
      <c r="AK12" s="83">
        <v>1200</v>
      </c>
      <c r="AL12" s="364">
        <v>1200</v>
      </c>
      <c r="AM12" s="77">
        <f t="shared" si="3"/>
        <v>3600</v>
      </c>
      <c r="AN12" s="83">
        <v>1200</v>
      </c>
      <c r="AO12" s="83">
        <v>1200</v>
      </c>
      <c r="AP12" s="364">
        <v>381.85488027999963</v>
      </c>
      <c r="AQ12" s="77">
        <f t="shared" si="15"/>
        <v>2781.8548802799996</v>
      </c>
      <c r="AR12" s="416">
        <f t="shared" si="16"/>
        <v>13341.85488028</v>
      </c>
      <c r="AS12" s="149">
        <f t="shared" si="4"/>
        <v>8160</v>
      </c>
      <c r="AT12" s="87"/>
    </row>
    <row r="13" spans="1:46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7"/>
        <v>3.3099999999999454</v>
      </c>
      <c r="G13" s="32"/>
      <c r="H13" s="24">
        <v>721.18</v>
      </c>
      <c r="I13" s="23"/>
      <c r="J13" s="181">
        <f t="shared" si="8"/>
        <v>721.18</v>
      </c>
      <c r="K13" s="45">
        <v>720</v>
      </c>
      <c r="L13" s="32">
        <f t="shared" si="9"/>
        <v>1.17999999999995</v>
      </c>
      <c r="M13" s="32"/>
      <c r="N13" s="33">
        <v>721.18</v>
      </c>
      <c r="O13" s="32"/>
      <c r="P13" s="298">
        <f t="shared" si="10"/>
        <v>721.18</v>
      </c>
      <c r="Q13" s="45">
        <v>720</v>
      </c>
      <c r="R13" s="32">
        <f t="shared" si="17"/>
        <v>1.17999999999995</v>
      </c>
      <c r="S13" s="77">
        <f t="shared" si="11"/>
        <v>2160</v>
      </c>
      <c r="T13" s="315">
        <v>728.46</v>
      </c>
      <c r="U13" s="337">
        <v>480</v>
      </c>
      <c r="V13" s="315">
        <f t="shared" si="12"/>
        <v>248.46000000000004</v>
      </c>
      <c r="W13" s="265">
        <v>0</v>
      </c>
      <c r="X13" s="315"/>
      <c r="Y13" s="341">
        <v>4720.54</v>
      </c>
      <c r="Z13" s="83">
        <v>660</v>
      </c>
      <c r="AA13" s="393">
        <f t="shared" si="13"/>
        <v>660</v>
      </c>
      <c r="AB13" s="396">
        <v>660</v>
      </c>
      <c r="AC13" s="395">
        <f t="shared" si="14"/>
        <v>0</v>
      </c>
      <c r="AD13" s="364">
        <v>660</v>
      </c>
      <c r="AE13" s="79">
        <v>660</v>
      </c>
      <c r="AF13" s="364">
        <f t="shared" si="0"/>
        <v>0</v>
      </c>
      <c r="AG13" s="77">
        <f t="shared" si="1"/>
        <v>1800</v>
      </c>
      <c r="AH13" s="83">
        <v>660</v>
      </c>
      <c r="AI13" s="79">
        <v>420</v>
      </c>
      <c r="AJ13" s="83">
        <f t="shared" si="2"/>
        <v>240</v>
      </c>
      <c r="AK13" s="83">
        <v>660</v>
      </c>
      <c r="AL13" s="364">
        <v>660</v>
      </c>
      <c r="AM13" s="77">
        <f t="shared" si="3"/>
        <v>1740</v>
      </c>
      <c r="AN13" s="83">
        <v>660</v>
      </c>
      <c r="AO13" s="83">
        <v>660</v>
      </c>
      <c r="AP13" s="364">
        <v>100.53673324000101</v>
      </c>
      <c r="AQ13" s="77">
        <f t="shared" si="15"/>
        <v>1420.536733240001</v>
      </c>
      <c r="AR13" s="416">
        <f t="shared" si="16"/>
        <v>7120.536733240001</v>
      </c>
      <c r="AS13" s="149">
        <f t="shared" si="4"/>
        <v>4380</v>
      </c>
      <c r="AT13" s="87"/>
    </row>
    <row r="14" spans="1:46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7"/>
        <v>57.379999999999995</v>
      </c>
      <c r="G14" s="32"/>
      <c r="H14" s="24">
        <v>894.73</v>
      </c>
      <c r="I14" s="23"/>
      <c r="J14" s="181">
        <f t="shared" si="8"/>
        <v>894.73</v>
      </c>
      <c r="K14" s="45">
        <v>840</v>
      </c>
      <c r="L14" s="32">
        <f t="shared" si="9"/>
        <v>54.73000000000002</v>
      </c>
      <c r="M14" s="32"/>
      <c r="N14" s="33">
        <v>894.73</v>
      </c>
      <c r="O14" s="32"/>
      <c r="P14" s="298">
        <f t="shared" si="10"/>
        <v>894.73</v>
      </c>
      <c r="Q14" s="45">
        <v>840</v>
      </c>
      <c r="R14" s="32">
        <f t="shared" si="17"/>
        <v>54.73000000000002</v>
      </c>
      <c r="S14" s="77">
        <f t="shared" si="11"/>
        <v>2520</v>
      </c>
      <c r="T14" s="315">
        <v>903.77</v>
      </c>
      <c r="U14" s="337">
        <v>900</v>
      </c>
      <c r="V14" s="315">
        <f t="shared" si="12"/>
        <v>3.769999999999982</v>
      </c>
      <c r="W14" s="265">
        <v>0</v>
      </c>
      <c r="X14" s="315"/>
      <c r="Y14" s="341">
        <v>5856.55</v>
      </c>
      <c r="Z14" s="83">
        <v>780</v>
      </c>
      <c r="AA14" s="393">
        <f t="shared" si="13"/>
        <v>780</v>
      </c>
      <c r="AB14" s="396">
        <v>780</v>
      </c>
      <c r="AC14" s="395">
        <f t="shared" si="14"/>
        <v>0</v>
      </c>
      <c r="AD14" s="364">
        <v>780</v>
      </c>
      <c r="AE14" s="79">
        <v>780</v>
      </c>
      <c r="AF14" s="364">
        <f t="shared" si="0"/>
        <v>0</v>
      </c>
      <c r="AG14" s="77">
        <f t="shared" si="1"/>
        <v>2460</v>
      </c>
      <c r="AH14" s="83">
        <v>780</v>
      </c>
      <c r="AI14" s="79">
        <v>780</v>
      </c>
      <c r="AJ14" s="83">
        <f t="shared" si="2"/>
        <v>0</v>
      </c>
      <c r="AK14" s="83">
        <v>780</v>
      </c>
      <c r="AL14" s="364">
        <v>780</v>
      </c>
      <c r="AM14" s="77">
        <f t="shared" si="3"/>
        <v>2340</v>
      </c>
      <c r="AN14" s="83">
        <v>780</v>
      </c>
      <c r="AO14" s="83">
        <v>780</v>
      </c>
      <c r="AP14" s="364">
        <v>396.54625300000043</v>
      </c>
      <c r="AQ14" s="77">
        <f t="shared" si="15"/>
        <v>1956.5462530000004</v>
      </c>
      <c r="AR14" s="416">
        <f t="shared" si="16"/>
        <v>9276.546253</v>
      </c>
      <c r="AS14" s="149">
        <f t="shared" si="4"/>
        <v>5760</v>
      </c>
      <c r="AT14" s="87"/>
    </row>
    <row r="15" spans="1:46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7"/>
        <v>70.20000000000005</v>
      </c>
      <c r="G15" s="32"/>
      <c r="H15" s="24">
        <v>728.04</v>
      </c>
      <c r="I15" s="23"/>
      <c r="J15" s="181">
        <f t="shared" si="8"/>
        <v>728.04</v>
      </c>
      <c r="K15" s="45">
        <v>720</v>
      </c>
      <c r="L15" s="32">
        <f t="shared" si="9"/>
        <v>8.039999999999964</v>
      </c>
      <c r="M15" s="32"/>
      <c r="N15" s="33">
        <v>728.04</v>
      </c>
      <c r="O15" s="32"/>
      <c r="P15" s="298">
        <f t="shared" si="10"/>
        <v>728.04</v>
      </c>
      <c r="Q15" s="45">
        <v>660</v>
      </c>
      <c r="R15" s="32">
        <f t="shared" si="17"/>
        <v>68.03999999999996</v>
      </c>
      <c r="S15" s="77">
        <f t="shared" si="11"/>
        <v>2040</v>
      </c>
      <c r="T15" s="315">
        <v>735.39</v>
      </c>
      <c r="U15" s="337">
        <v>180</v>
      </c>
      <c r="V15" s="315">
        <f t="shared" si="12"/>
        <v>555.39</v>
      </c>
      <c r="W15" s="265">
        <v>0</v>
      </c>
      <c r="X15" s="315"/>
      <c r="Y15" s="341">
        <v>4765.46</v>
      </c>
      <c r="Z15" s="83">
        <v>660</v>
      </c>
      <c r="AA15" s="393">
        <f t="shared" si="13"/>
        <v>660</v>
      </c>
      <c r="AB15" s="396">
        <v>660</v>
      </c>
      <c r="AC15" s="395">
        <f t="shared" si="14"/>
        <v>0</v>
      </c>
      <c r="AD15" s="364">
        <v>660</v>
      </c>
      <c r="AE15" s="79">
        <v>660</v>
      </c>
      <c r="AF15" s="364">
        <f t="shared" si="0"/>
        <v>0</v>
      </c>
      <c r="AG15" s="77">
        <f t="shared" si="1"/>
        <v>1500</v>
      </c>
      <c r="AH15" s="83">
        <v>660</v>
      </c>
      <c r="AI15" s="79">
        <v>660</v>
      </c>
      <c r="AJ15" s="83">
        <f t="shared" si="2"/>
        <v>0</v>
      </c>
      <c r="AK15" s="83">
        <v>660</v>
      </c>
      <c r="AL15" s="364">
        <v>660</v>
      </c>
      <c r="AM15" s="77">
        <f t="shared" si="3"/>
        <v>1980</v>
      </c>
      <c r="AN15" s="83">
        <v>660</v>
      </c>
      <c r="AO15" s="83">
        <v>660</v>
      </c>
      <c r="AP15" s="364">
        <v>145.46366339999986</v>
      </c>
      <c r="AQ15" s="77">
        <f t="shared" si="15"/>
        <v>1465.4636633999999</v>
      </c>
      <c r="AR15" s="416">
        <f t="shared" si="16"/>
        <v>6985.4636634</v>
      </c>
      <c r="AS15" s="149">
        <f t="shared" si="4"/>
        <v>4200</v>
      </c>
      <c r="AT15" s="87"/>
    </row>
    <row r="16" spans="1:46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7"/>
        <v>0.2699999999999818</v>
      </c>
      <c r="G16" s="32"/>
      <c r="H16" s="24">
        <v>2647.42</v>
      </c>
      <c r="I16" s="24"/>
      <c r="J16" s="181">
        <f t="shared" si="8"/>
        <v>2647.42</v>
      </c>
      <c r="K16" s="74">
        <v>2640</v>
      </c>
      <c r="L16" s="32">
        <f t="shared" si="9"/>
        <v>7.420000000000073</v>
      </c>
      <c r="M16" s="32"/>
      <c r="N16" s="33">
        <v>2647.42</v>
      </c>
      <c r="O16" s="32"/>
      <c r="P16" s="298">
        <f t="shared" si="10"/>
        <v>2647.42</v>
      </c>
      <c r="Q16" s="45">
        <v>2640</v>
      </c>
      <c r="R16" s="32">
        <f t="shared" si="17"/>
        <v>7.420000000000073</v>
      </c>
      <c r="S16" s="77">
        <f t="shared" si="11"/>
        <v>7935</v>
      </c>
      <c r="T16" s="315">
        <v>2674.16</v>
      </c>
      <c r="U16" s="337">
        <v>2670</v>
      </c>
      <c r="V16" s="315">
        <f t="shared" si="12"/>
        <v>4.1599999999998545</v>
      </c>
      <c r="W16" s="265">
        <v>0</v>
      </c>
      <c r="X16" s="315"/>
      <c r="Y16" s="341">
        <v>17328.96</v>
      </c>
      <c r="Z16" s="83">
        <v>2400</v>
      </c>
      <c r="AA16" s="393">
        <f t="shared" si="13"/>
        <v>2400</v>
      </c>
      <c r="AB16" s="396">
        <v>2400</v>
      </c>
      <c r="AC16" s="395">
        <f t="shared" si="14"/>
        <v>0</v>
      </c>
      <c r="AD16" s="364">
        <v>2400</v>
      </c>
      <c r="AE16" s="79">
        <v>2400</v>
      </c>
      <c r="AF16" s="364">
        <f t="shared" si="0"/>
        <v>0</v>
      </c>
      <c r="AG16" s="77">
        <f t="shared" si="1"/>
        <v>7470</v>
      </c>
      <c r="AH16" s="83">
        <v>2400</v>
      </c>
      <c r="AI16" s="79">
        <v>2400</v>
      </c>
      <c r="AJ16" s="83">
        <f t="shared" si="2"/>
        <v>0</v>
      </c>
      <c r="AK16" s="83">
        <v>2400</v>
      </c>
      <c r="AL16" s="364">
        <v>2400</v>
      </c>
      <c r="AM16" s="77">
        <f t="shared" si="3"/>
        <v>7200</v>
      </c>
      <c r="AN16" s="83">
        <v>2400</v>
      </c>
      <c r="AO16" s="83">
        <v>2400</v>
      </c>
      <c r="AP16" s="364">
        <v>528.9587760000031</v>
      </c>
      <c r="AQ16" s="77">
        <f t="shared" si="15"/>
        <v>5328.958776000003</v>
      </c>
      <c r="AR16" s="416">
        <f t="shared" si="16"/>
        <v>27933.958776000003</v>
      </c>
      <c r="AS16" s="149">
        <f t="shared" si="4"/>
        <v>17805</v>
      </c>
      <c r="AT16" s="87"/>
    </row>
    <row r="17" spans="1:46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7"/>
        <v>31.070000000000164</v>
      </c>
      <c r="G17" s="32"/>
      <c r="H17" s="24">
        <v>2304.23</v>
      </c>
      <c r="I17" s="23"/>
      <c r="J17" s="181">
        <f t="shared" si="8"/>
        <v>2304.23</v>
      </c>
      <c r="K17" s="45">
        <v>0</v>
      </c>
      <c r="L17" s="32">
        <f t="shared" si="9"/>
        <v>2304.23</v>
      </c>
      <c r="M17" s="32"/>
      <c r="N17" s="33">
        <v>2304.23</v>
      </c>
      <c r="O17" s="32"/>
      <c r="P17" s="298">
        <f t="shared" si="10"/>
        <v>2304.23</v>
      </c>
      <c r="Q17" s="45">
        <v>2280</v>
      </c>
      <c r="R17" s="32">
        <f t="shared" si="17"/>
        <v>24.230000000000018</v>
      </c>
      <c r="S17" s="77">
        <f t="shared" si="11"/>
        <v>4560</v>
      </c>
      <c r="T17" s="315">
        <v>2327.51</v>
      </c>
      <c r="U17" s="337">
        <v>1940</v>
      </c>
      <c r="V17" s="315">
        <f t="shared" si="12"/>
        <v>387.5100000000002</v>
      </c>
      <c r="W17" s="265">
        <v>0</v>
      </c>
      <c r="X17" s="315"/>
      <c r="Y17" s="341">
        <v>15082.61</v>
      </c>
      <c r="Z17" s="83">
        <v>2220</v>
      </c>
      <c r="AA17" s="393">
        <f t="shared" si="13"/>
        <v>2220</v>
      </c>
      <c r="AB17" s="396">
        <v>2160</v>
      </c>
      <c r="AC17" s="395">
        <f t="shared" si="14"/>
        <v>60</v>
      </c>
      <c r="AD17" s="364">
        <v>2220</v>
      </c>
      <c r="AE17" s="79">
        <v>2180</v>
      </c>
      <c r="AF17" s="364">
        <f t="shared" si="0"/>
        <v>40</v>
      </c>
      <c r="AG17" s="77">
        <f t="shared" si="1"/>
        <v>6280</v>
      </c>
      <c r="AH17" s="83">
        <v>2220</v>
      </c>
      <c r="AI17" s="79">
        <v>2220</v>
      </c>
      <c r="AJ17" s="83">
        <f t="shared" si="2"/>
        <v>0</v>
      </c>
      <c r="AK17" s="83">
        <v>2220</v>
      </c>
      <c r="AL17" s="364">
        <v>2220</v>
      </c>
      <c r="AM17" s="77">
        <f t="shared" si="3"/>
        <v>6660</v>
      </c>
      <c r="AN17" s="83">
        <v>2220</v>
      </c>
      <c r="AO17" s="83">
        <v>1762.6122680000008</v>
      </c>
      <c r="AP17" s="364">
        <v>0</v>
      </c>
      <c r="AQ17" s="77">
        <f t="shared" si="15"/>
        <v>3982.6122680000008</v>
      </c>
      <c r="AR17" s="416">
        <f t="shared" si="16"/>
        <v>21482.612268</v>
      </c>
      <c r="AS17" s="149">
        <f t="shared" si="4"/>
        <v>13060</v>
      </c>
      <c r="AT17" s="87"/>
    </row>
    <row r="18" spans="1:46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7"/>
        <v>1005.98</v>
      </c>
      <c r="G18" s="32"/>
      <c r="H18" s="24">
        <v>1421.76</v>
      </c>
      <c r="I18" s="23"/>
      <c r="J18" s="181">
        <f t="shared" si="8"/>
        <v>1421.76</v>
      </c>
      <c r="K18" s="45">
        <v>720</v>
      </c>
      <c r="L18" s="32">
        <f t="shared" si="9"/>
        <v>701.76</v>
      </c>
      <c r="M18" s="32"/>
      <c r="N18" s="33">
        <v>1421.76</v>
      </c>
      <c r="O18" s="32"/>
      <c r="P18" s="298">
        <f t="shared" si="10"/>
        <v>1421.76</v>
      </c>
      <c r="Q18" s="45">
        <v>630</v>
      </c>
      <c r="R18" s="32">
        <f t="shared" si="17"/>
        <v>791.76</v>
      </c>
      <c r="S18" s="77">
        <f t="shared" si="11"/>
        <v>1770</v>
      </c>
      <c r="T18" s="315">
        <v>1436.12</v>
      </c>
      <c r="U18" s="337">
        <v>450</v>
      </c>
      <c r="V18" s="315">
        <f t="shared" si="12"/>
        <v>986.1199999999999</v>
      </c>
      <c r="W18" s="265">
        <v>0</v>
      </c>
      <c r="X18" s="315"/>
      <c r="Y18" s="341">
        <v>9306.29</v>
      </c>
      <c r="Z18" s="83">
        <v>820</v>
      </c>
      <c r="AA18" s="393">
        <f t="shared" si="13"/>
        <v>820</v>
      </c>
      <c r="AB18" s="396">
        <v>540</v>
      </c>
      <c r="AC18" s="395">
        <f t="shared" si="14"/>
        <v>280</v>
      </c>
      <c r="AD18" s="364">
        <v>820</v>
      </c>
      <c r="AE18" s="79">
        <v>480</v>
      </c>
      <c r="AF18" s="364">
        <f t="shared" si="0"/>
        <v>340</v>
      </c>
      <c r="AG18" s="77">
        <f t="shared" si="1"/>
        <v>1470</v>
      </c>
      <c r="AH18" s="83">
        <v>1300</v>
      </c>
      <c r="AI18" s="79">
        <v>480</v>
      </c>
      <c r="AJ18" s="83">
        <f t="shared" si="2"/>
        <v>820</v>
      </c>
      <c r="AK18" s="83">
        <v>1300</v>
      </c>
      <c r="AL18" s="364">
        <v>1300</v>
      </c>
      <c r="AM18" s="77">
        <f t="shared" si="3"/>
        <v>3080</v>
      </c>
      <c r="AN18" s="83">
        <v>1500</v>
      </c>
      <c r="AO18" s="83">
        <v>1500</v>
      </c>
      <c r="AP18" s="364">
        <v>766.2926760000009</v>
      </c>
      <c r="AQ18" s="77">
        <f t="shared" si="15"/>
        <v>3766.292676000001</v>
      </c>
      <c r="AR18" s="416">
        <f t="shared" si="16"/>
        <v>10086.292676000001</v>
      </c>
      <c r="AS18" s="149">
        <f t="shared" si="4"/>
        <v>3720</v>
      </c>
      <c r="AT18" s="87"/>
    </row>
    <row r="19" spans="1:46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7"/>
        <v>6.789999999999964</v>
      </c>
      <c r="G19" s="63"/>
      <c r="H19" s="30">
        <v>4717.78</v>
      </c>
      <c r="I19" s="54"/>
      <c r="J19" s="260">
        <f t="shared" si="8"/>
        <v>4717.78</v>
      </c>
      <c r="K19" s="46">
        <v>4710</v>
      </c>
      <c r="L19" s="32">
        <f t="shared" si="9"/>
        <v>7.779999999999745</v>
      </c>
      <c r="M19" s="63"/>
      <c r="N19" s="34">
        <v>4717.78</v>
      </c>
      <c r="O19" s="63"/>
      <c r="P19" s="298">
        <f t="shared" si="10"/>
        <v>4717.78</v>
      </c>
      <c r="Q19" s="46">
        <v>4695</v>
      </c>
      <c r="R19" s="32">
        <f t="shared" si="17"/>
        <v>22.779999999999745</v>
      </c>
      <c r="S19" s="77">
        <f t="shared" si="11"/>
        <v>14130</v>
      </c>
      <c r="T19" s="315">
        <v>4765.45</v>
      </c>
      <c r="U19" s="338">
        <v>4760</v>
      </c>
      <c r="V19" s="315">
        <f t="shared" si="12"/>
        <v>5.449999999999818</v>
      </c>
      <c r="W19" s="265">
        <v>0</v>
      </c>
      <c r="X19" s="380"/>
      <c r="Y19" s="342">
        <v>68994.94</v>
      </c>
      <c r="Z19" s="365">
        <v>9000</v>
      </c>
      <c r="AA19" s="393">
        <f t="shared" si="13"/>
        <v>9000</v>
      </c>
      <c r="AB19" s="396">
        <v>9000</v>
      </c>
      <c r="AC19" s="395">
        <f t="shared" si="14"/>
        <v>0</v>
      </c>
      <c r="AD19" s="364">
        <v>9000</v>
      </c>
      <c r="AE19" s="79">
        <v>8995</v>
      </c>
      <c r="AF19" s="364">
        <f t="shared" si="0"/>
        <v>5</v>
      </c>
      <c r="AG19" s="77">
        <f t="shared" si="1"/>
        <v>22755</v>
      </c>
      <c r="AH19" s="365">
        <v>9000</v>
      </c>
      <c r="AI19" s="417">
        <v>9000</v>
      </c>
      <c r="AJ19" s="83">
        <f t="shared" si="2"/>
        <v>0</v>
      </c>
      <c r="AK19" s="366">
        <v>9000</v>
      </c>
      <c r="AL19" s="364">
        <v>9000</v>
      </c>
      <c r="AM19" s="77">
        <f t="shared" si="3"/>
        <v>27000</v>
      </c>
      <c r="AN19" s="365">
        <v>9000</v>
      </c>
      <c r="AO19" s="366">
        <v>9000</v>
      </c>
      <c r="AP19" s="364">
        <v>5994.92846000001</v>
      </c>
      <c r="AQ19" s="77">
        <f t="shared" si="15"/>
        <v>23994.92846000001</v>
      </c>
      <c r="AR19" s="416">
        <f t="shared" si="16"/>
        <v>87879.92846000001</v>
      </c>
      <c r="AS19" s="149">
        <f t="shared" si="4"/>
        <v>45885</v>
      </c>
      <c r="AT19" s="87"/>
    </row>
    <row r="20" spans="1:46" s="10" customFormat="1" ht="23.25" customHeight="1">
      <c r="A20" s="64"/>
      <c r="B20" s="126" t="s">
        <v>12</v>
      </c>
      <c r="C20" s="48">
        <v>185230</v>
      </c>
      <c r="D20" s="48">
        <f aca="true" t="shared" si="18" ref="D20:AT20">SUM(D11:D19)</f>
        <v>14747.07</v>
      </c>
      <c r="E20" s="48">
        <f t="shared" si="18"/>
        <v>13560</v>
      </c>
      <c r="F20" s="48">
        <f t="shared" si="18"/>
        <v>1187.0700000000002</v>
      </c>
      <c r="G20" s="48">
        <f t="shared" si="18"/>
        <v>0</v>
      </c>
      <c r="H20" s="48">
        <f t="shared" si="18"/>
        <v>14703.45</v>
      </c>
      <c r="I20" s="48">
        <f t="shared" si="18"/>
        <v>0</v>
      </c>
      <c r="J20" s="48">
        <f t="shared" si="18"/>
        <v>14703.45</v>
      </c>
      <c r="K20" s="48">
        <f t="shared" si="18"/>
        <v>11610</v>
      </c>
      <c r="L20" s="48">
        <f t="shared" si="18"/>
        <v>3093.45</v>
      </c>
      <c r="M20" s="48">
        <f t="shared" si="18"/>
        <v>0</v>
      </c>
      <c r="N20" s="48">
        <f t="shared" si="18"/>
        <v>14703.45</v>
      </c>
      <c r="O20" s="48">
        <f t="shared" si="18"/>
        <v>0</v>
      </c>
      <c r="P20" s="48">
        <f t="shared" si="18"/>
        <v>14703.45</v>
      </c>
      <c r="Q20" s="48">
        <f t="shared" si="18"/>
        <v>13725</v>
      </c>
      <c r="R20" s="48">
        <f t="shared" si="18"/>
        <v>978.4499999999997</v>
      </c>
      <c r="S20" s="48">
        <f t="shared" si="18"/>
        <v>38895</v>
      </c>
      <c r="T20" s="141">
        <f t="shared" si="18"/>
        <v>14851.98</v>
      </c>
      <c r="U20" s="141">
        <f t="shared" si="18"/>
        <v>12640</v>
      </c>
      <c r="V20" s="141">
        <f t="shared" si="18"/>
        <v>2211.9799999999996</v>
      </c>
      <c r="W20" s="348">
        <f t="shared" si="18"/>
        <v>0</v>
      </c>
      <c r="X20" s="348">
        <f t="shared" si="18"/>
        <v>0</v>
      </c>
      <c r="Y20" s="348">
        <f t="shared" si="18"/>
        <v>134357.2</v>
      </c>
      <c r="Z20" s="348">
        <f t="shared" si="18"/>
        <v>17500</v>
      </c>
      <c r="AA20" s="348">
        <f t="shared" si="18"/>
        <v>17500</v>
      </c>
      <c r="AB20" s="348">
        <f t="shared" si="18"/>
        <v>17160</v>
      </c>
      <c r="AC20" s="367">
        <f t="shared" si="18"/>
        <v>340</v>
      </c>
      <c r="AD20" s="382">
        <f t="shared" si="18"/>
        <v>17500</v>
      </c>
      <c r="AE20" s="367">
        <f>SUM(AE11:AE19)</f>
        <v>17115</v>
      </c>
      <c r="AF20" s="382">
        <f>SUM(AF11:AF19)</f>
        <v>385</v>
      </c>
      <c r="AG20" s="367">
        <f t="shared" si="18"/>
        <v>46915</v>
      </c>
      <c r="AH20" s="367">
        <f t="shared" si="18"/>
        <v>18220</v>
      </c>
      <c r="AI20" s="367">
        <f>SUM(AI11:AI19)</f>
        <v>17160</v>
      </c>
      <c r="AJ20" s="367">
        <f>SUM(AJ11:AJ19)</f>
        <v>1060</v>
      </c>
      <c r="AK20" s="348">
        <f t="shared" si="18"/>
        <v>18220</v>
      </c>
      <c r="AL20" s="348">
        <f t="shared" si="18"/>
        <v>18220</v>
      </c>
      <c r="AM20" s="348">
        <f t="shared" si="18"/>
        <v>53600</v>
      </c>
      <c r="AN20" s="348">
        <f t="shared" si="18"/>
        <v>18420</v>
      </c>
      <c r="AO20" s="348">
        <f t="shared" si="18"/>
        <v>17962.612268</v>
      </c>
      <c r="AP20" s="348">
        <f t="shared" si="18"/>
        <v>8314.581441920014</v>
      </c>
      <c r="AQ20" s="367">
        <f t="shared" si="18"/>
        <v>44697.193709920015</v>
      </c>
      <c r="AR20" s="48">
        <f t="shared" si="18"/>
        <v>184107.19370992001</v>
      </c>
      <c r="AS20" s="237">
        <f t="shared" si="18"/>
        <v>102970</v>
      </c>
      <c r="AT20" s="48">
        <f t="shared" si="18"/>
        <v>0</v>
      </c>
    </row>
    <row r="21" spans="1:46" s="10" customFormat="1" ht="20.25" customHeight="1" thickBot="1">
      <c r="A21" s="65"/>
      <c r="B21" s="127" t="s">
        <v>43</v>
      </c>
      <c r="C21" s="49">
        <v>3290376</v>
      </c>
      <c r="D21" s="49">
        <f aca="true" t="shared" si="19" ref="D21:AT21">D10+D20</f>
        <v>200020.08000000002</v>
      </c>
      <c r="E21" s="49">
        <f t="shared" si="19"/>
        <v>257247</v>
      </c>
      <c r="F21" s="151">
        <f t="shared" si="19"/>
        <v>5312.620000000003</v>
      </c>
      <c r="G21" s="49">
        <f t="shared" si="19"/>
        <v>173459</v>
      </c>
      <c r="H21" s="49">
        <f t="shared" si="19"/>
        <v>195979.92</v>
      </c>
      <c r="I21" s="151">
        <f t="shared" si="19"/>
        <v>5312.620000000002</v>
      </c>
      <c r="J21" s="49">
        <f t="shared" si="19"/>
        <v>203238.79</v>
      </c>
      <c r="K21" s="49">
        <f t="shared" si="19"/>
        <v>245921</v>
      </c>
      <c r="L21" s="151">
        <f t="shared" si="19"/>
        <v>3103.814863649889</v>
      </c>
      <c r="M21" s="49">
        <f t="shared" si="19"/>
        <v>170588</v>
      </c>
      <c r="N21" s="49">
        <f t="shared" si="19"/>
        <v>196053.75000000003</v>
      </c>
      <c r="O21" s="151">
        <f t="shared" si="19"/>
        <v>3103.8148636498895</v>
      </c>
      <c r="P21" s="49">
        <f t="shared" si="19"/>
        <v>199186.6248636499</v>
      </c>
      <c r="Q21" s="49">
        <f t="shared" si="19"/>
        <v>367879</v>
      </c>
      <c r="R21" s="151">
        <f t="shared" si="19"/>
        <v>984.321827562543</v>
      </c>
      <c r="S21" s="49">
        <f t="shared" si="19"/>
        <v>871047</v>
      </c>
      <c r="T21" s="142">
        <f t="shared" si="19"/>
        <v>201948.6</v>
      </c>
      <c r="U21" s="142">
        <f t="shared" si="19"/>
        <v>193008</v>
      </c>
      <c r="V21" s="205">
        <f t="shared" si="19"/>
        <v>15540.600000000002</v>
      </c>
      <c r="W21" s="349">
        <f t="shared" si="19"/>
        <v>119625.25</v>
      </c>
      <c r="X21" s="388">
        <f t="shared" si="19"/>
        <v>16524.921827562546</v>
      </c>
      <c r="Y21" s="349">
        <f t="shared" si="19"/>
        <v>1282400</v>
      </c>
      <c r="Z21" s="349">
        <f t="shared" si="19"/>
        <v>193522.34000000003</v>
      </c>
      <c r="AA21" s="349">
        <f t="shared" si="19"/>
        <v>221542.42182756256</v>
      </c>
      <c r="AB21" s="349">
        <f t="shared" si="19"/>
        <v>305711</v>
      </c>
      <c r="AC21" s="151">
        <f t="shared" si="19"/>
        <v>341</v>
      </c>
      <c r="AD21" s="383">
        <f t="shared" si="19"/>
        <v>197340</v>
      </c>
      <c r="AE21" s="368">
        <f>AE10+AE20</f>
        <v>286584</v>
      </c>
      <c r="AF21" s="411">
        <f>AF10+AF20</f>
        <v>389</v>
      </c>
      <c r="AG21" s="368">
        <f t="shared" si="19"/>
        <v>785303</v>
      </c>
      <c r="AH21" s="368">
        <f t="shared" si="19"/>
        <v>184220</v>
      </c>
      <c r="AI21" s="368">
        <f>AI10+AI20</f>
        <v>238730</v>
      </c>
      <c r="AJ21" s="419">
        <f>AJ10+AJ20</f>
        <v>1067</v>
      </c>
      <c r="AK21" s="349">
        <f t="shared" si="19"/>
        <v>194884.84</v>
      </c>
      <c r="AL21" s="349">
        <f t="shared" si="19"/>
        <v>196220</v>
      </c>
      <c r="AM21" s="349">
        <f t="shared" si="19"/>
        <v>629834.84</v>
      </c>
      <c r="AN21" s="349">
        <f t="shared" si="19"/>
        <v>197043</v>
      </c>
      <c r="AO21" s="349">
        <f t="shared" si="19"/>
        <v>97382.41502272003</v>
      </c>
      <c r="AP21" s="349">
        <f t="shared" si="19"/>
        <v>8314.58453192003</v>
      </c>
      <c r="AQ21" s="368">
        <f t="shared" si="19"/>
        <v>302739.99955464003</v>
      </c>
      <c r="AR21" s="49">
        <f t="shared" si="19"/>
        <v>2588924.8395546405</v>
      </c>
      <c r="AS21" s="143">
        <f t="shared" si="19"/>
        <v>1895080</v>
      </c>
      <c r="AT21" s="49">
        <f t="shared" si="19"/>
        <v>0</v>
      </c>
    </row>
    <row r="22" spans="1:94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73" t="s">
        <v>73</v>
      </c>
      <c r="K22" s="274">
        <f>-(L6+L7+L9)</f>
        <v>45786.02486364989</v>
      </c>
      <c r="L22" s="131" t="s">
        <v>34</v>
      </c>
      <c r="M22" s="297">
        <f>L21*100/M21</f>
        <v>1.8194801883191603</v>
      </c>
      <c r="N22" s="257"/>
      <c r="O22" s="257"/>
      <c r="P22" s="257"/>
      <c r="Q22" s="258"/>
      <c r="R22" s="259">
        <f>16871.57+152600+205.12</f>
        <v>169676.69</v>
      </c>
      <c r="S22" s="324" t="s">
        <v>90</v>
      </c>
      <c r="T22" s="323">
        <f>R21</f>
        <v>984.321827562543</v>
      </c>
      <c r="U22" s="273" t="s">
        <v>73</v>
      </c>
      <c r="V22" s="351">
        <f>-(V7)</f>
        <v>6600</v>
      </c>
      <c r="W22" s="356"/>
      <c r="X22" s="356"/>
      <c r="Y22" s="323"/>
      <c r="Z22" s="144"/>
      <c r="AA22" s="273" t="s">
        <v>73</v>
      </c>
      <c r="AB22" s="245">
        <f>-(AC6+AC7+AC9)</f>
        <v>84509.57895299152</v>
      </c>
      <c r="AC22" s="144"/>
      <c r="AD22" s="273" t="s">
        <v>73</v>
      </c>
      <c r="AE22" s="245">
        <f>-(AF6+AF7+AF9)</f>
        <v>89423</v>
      </c>
      <c r="AF22" s="144"/>
      <c r="AG22" s="144"/>
      <c r="AH22" s="144"/>
      <c r="AI22" s="273" t="s">
        <v>73</v>
      </c>
      <c r="AJ22" s="245">
        <f>-(AJ6+AJ7+AJ9)</f>
        <v>55577</v>
      </c>
      <c r="AK22" s="144"/>
      <c r="AL22" s="144"/>
      <c r="AM22" s="144"/>
      <c r="AN22" s="144"/>
      <c r="AO22" s="144"/>
      <c r="AP22" s="144"/>
      <c r="AQ22" s="144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</row>
    <row r="23" spans="2:45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7"/>
      <c r="N23" s="578"/>
      <c r="O23" s="266"/>
      <c r="P23" s="266"/>
      <c r="Q23" s="253">
        <f>N22+R21</f>
        <v>984.321827562543</v>
      </c>
      <c r="R23" s="192" t="s">
        <v>34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229" t="e">
        <f>#REF!+#REF!+#REF!</f>
        <v>#REF!</v>
      </c>
      <c r="AS23" s="80"/>
    </row>
    <row r="24" spans="2:45" s="100" customFormat="1" ht="33" customHeight="1" thickBot="1">
      <c r="B24" s="117"/>
      <c r="C24" s="94"/>
      <c r="D24" s="36"/>
      <c r="E24" s="88"/>
      <c r="F24" s="36"/>
      <c r="G24" s="36"/>
      <c r="H24" s="94"/>
      <c r="I24" s="94"/>
      <c r="J24" s="41"/>
      <c r="K24" s="579"/>
      <c r="L24" s="580"/>
      <c r="M24" s="296"/>
      <c r="N24" s="94"/>
      <c r="O24" s="94"/>
      <c r="P24" s="94"/>
      <c r="Q24" s="94"/>
      <c r="R24" s="94"/>
      <c r="S24" s="89"/>
      <c r="T24" s="581" t="s">
        <v>107</v>
      </c>
      <c r="U24" s="582"/>
      <c r="V24" s="190">
        <f>R21+V21</f>
        <v>16524.921827562546</v>
      </c>
      <c r="W24" s="374" t="s">
        <v>124</v>
      </c>
      <c r="X24" s="387">
        <f>V24*100/W21</f>
        <v>13.813907872763105</v>
      </c>
      <c r="Y24" s="89"/>
      <c r="Z24" s="89"/>
      <c r="AA24" s="89"/>
      <c r="AB24" s="89"/>
      <c r="AC24" s="404" t="s">
        <v>131</v>
      </c>
      <c r="AD24" s="190">
        <f>AC21+AF21</f>
        <v>730</v>
      </c>
      <c r="AE24" s="412" t="s">
        <v>134</v>
      </c>
      <c r="AF24" s="413">
        <f>-AF8</f>
        <v>210.00000000000182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8"/>
      <c r="AS24" s="36"/>
    </row>
    <row r="25" spans="2:45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94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8"/>
      <c r="AS25" s="36"/>
    </row>
    <row r="26" spans="2:45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16"/>
      <c r="AJ26" s="89"/>
      <c r="AK26" s="89"/>
      <c r="AL26" s="89"/>
      <c r="AM26" s="89"/>
      <c r="AN26" s="89"/>
      <c r="AO26" s="89"/>
      <c r="AP26" s="89"/>
      <c r="AQ26" s="89"/>
      <c r="AR26" s="88"/>
      <c r="AS26" s="36"/>
    </row>
    <row r="27" spans="2:45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9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20"/>
      <c r="AS27" s="121"/>
    </row>
    <row r="28" spans="2:45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8"/>
    </row>
    <row r="29" spans="2:45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53"/>
      <c r="AS29" s="108"/>
    </row>
    <row r="30" spans="2:45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94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103"/>
      <c r="AS30" s="108"/>
    </row>
    <row r="31" spans="2:45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8"/>
      <c r="AS31" s="36"/>
    </row>
    <row r="32" spans="2:45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8"/>
      <c r="AS32" s="36"/>
    </row>
    <row r="33" spans="2:45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8"/>
      <c r="AS33" s="36"/>
    </row>
    <row r="34" spans="2:45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8"/>
      <c r="AS34" s="36"/>
    </row>
    <row r="35" spans="2:45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8"/>
      <c r="AS35" s="36"/>
    </row>
    <row r="36" spans="2:45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8"/>
      <c r="AS36" s="36"/>
    </row>
    <row r="37" spans="2:45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8"/>
      <c r="AS37" s="36"/>
    </row>
    <row r="38" spans="2:45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8"/>
      <c r="AS38" s="36"/>
    </row>
    <row r="39" spans="2:45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8"/>
      <c r="AS39" s="36"/>
    </row>
    <row r="40" spans="2:45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8"/>
      <c r="AS40" s="36"/>
    </row>
    <row r="41" spans="2:45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8"/>
      <c r="AS41" s="36"/>
    </row>
    <row r="42" spans="2:45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8"/>
      <c r="AS42" s="36"/>
    </row>
    <row r="43" spans="2:45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8"/>
      <c r="AS43" s="36"/>
    </row>
    <row r="44" spans="2:45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8"/>
      <c r="AS44" s="36"/>
    </row>
    <row r="45" spans="2:45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8"/>
      <c r="AS45" s="36"/>
    </row>
    <row r="46" spans="2:45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8"/>
      <c r="AS46" s="36"/>
    </row>
    <row r="47" spans="2:45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8"/>
      <c r="AS47" s="36"/>
    </row>
    <row r="48" spans="2:45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8"/>
      <c r="AS48" s="36"/>
    </row>
    <row r="49" spans="2:45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8"/>
      <c r="AS49" s="36"/>
    </row>
    <row r="50" spans="2:45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8"/>
      <c r="AS50" s="36"/>
    </row>
    <row r="51" spans="2:45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8"/>
      <c r="AS51" s="36"/>
    </row>
    <row r="52" spans="2:45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8"/>
      <c r="AS52" s="36"/>
    </row>
    <row r="53" spans="2:45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8"/>
      <c r="AS53" s="36"/>
    </row>
    <row r="54" spans="2:45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8"/>
      <c r="AS54" s="36"/>
    </row>
    <row r="55" spans="2:45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8"/>
      <c r="AS55" s="36"/>
    </row>
    <row r="56" spans="2:45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8"/>
      <c r="AS56" s="36"/>
    </row>
    <row r="57" spans="2:45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8"/>
      <c r="AS57" s="36"/>
    </row>
    <row r="58" spans="2:45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8"/>
      <c r="AS58" s="36"/>
    </row>
    <row r="59" spans="2:45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8"/>
      <c r="AS59" s="36"/>
    </row>
    <row r="60" spans="2:45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8"/>
      <c r="AS60" s="36"/>
    </row>
    <row r="61" spans="2:45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8"/>
      <c r="AS61" s="36"/>
    </row>
    <row r="62" spans="2:45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8"/>
      <c r="AS62" s="36"/>
    </row>
    <row r="63" spans="2:45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8"/>
      <c r="AS63" s="36"/>
    </row>
    <row r="64" spans="2:45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8"/>
      <c r="AS64" s="36"/>
    </row>
    <row r="65" spans="2:45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8"/>
      <c r="AS65" s="36"/>
    </row>
    <row r="66" spans="2:45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8"/>
      <c r="AS66" s="36"/>
    </row>
    <row r="67" spans="2:45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8"/>
      <c r="AS67" s="36"/>
    </row>
    <row r="68" spans="2:45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8"/>
      <c r="AS68" s="36"/>
    </row>
    <row r="69" spans="2:45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8"/>
      <c r="AS69" s="36"/>
    </row>
  </sheetData>
  <sheetProtection/>
  <mergeCells count="3">
    <mergeCell ref="L23:N23"/>
    <mergeCell ref="K24:L24"/>
    <mergeCell ref="T24:U24"/>
  </mergeCells>
  <printOptions/>
  <pageMargins left="0.16" right="0.16" top="0.27" bottom="0.21" header="0.17" footer="0.17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M30"/>
  <sheetViews>
    <sheetView workbookViewId="0" topLeftCell="A4">
      <pane xSplit="6945" ySplit="1680" topLeftCell="AF13" activePane="bottomRight" state="split"/>
      <selection pane="topLeft" activeCell="AA4" sqref="AA1:AA16384"/>
      <selection pane="topRight" activeCell="AL4" sqref="AL1:AP16384"/>
      <selection pane="bottomLeft" activeCell="C15" sqref="C15"/>
      <selection pane="bottomRight" activeCell="AP9" sqref="AP9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customWidth="1"/>
    <col min="20" max="20" width="8.125" style="28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1.375" style="28" customWidth="1"/>
    <col min="26" max="27" width="9.125" style="28" customWidth="1"/>
    <col min="28" max="28" width="9.125" style="28" bestFit="1" customWidth="1"/>
    <col min="29" max="30" width="9.125" style="28" customWidth="1"/>
    <col min="31" max="31" width="9.625" style="28" customWidth="1"/>
    <col min="32" max="32" width="9.125" style="28" bestFit="1" customWidth="1"/>
    <col min="33" max="34" width="9.125" style="28" customWidth="1"/>
    <col min="35" max="35" width="9.875" style="28" customWidth="1"/>
    <col min="36" max="36" width="9.125" style="28" bestFit="1" customWidth="1"/>
    <col min="37" max="37" width="9.125" style="28" hidden="1" customWidth="1"/>
    <col min="38" max="39" width="9.125" style="28" bestFit="1" customWidth="1"/>
    <col min="40" max="40" width="7.75390625" style="28" bestFit="1" customWidth="1"/>
    <col min="41" max="41" width="9.125" style="28" bestFit="1" customWidth="1"/>
    <col min="42" max="42" width="10.375" style="105" customWidth="1"/>
    <col min="43" max="43" width="11.50390625" style="1" customWidth="1"/>
    <col min="44" max="44" width="9.25390625" style="1" hidden="1" customWidth="1"/>
    <col min="45" max="16384" width="9.00390625" style="1" customWidth="1"/>
  </cols>
  <sheetData>
    <row r="1" spans="1:43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105"/>
      <c r="AQ1" s="139" t="s">
        <v>35</v>
      </c>
    </row>
    <row r="2" ht="10.5" customHeight="1">
      <c r="A2" s="8"/>
    </row>
    <row r="3" spans="1:42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156"/>
    </row>
    <row r="4" spans="1:44" s="9" customFormat="1" ht="45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7" t="s">
        <v>132</v>
      </c>
      <c r="AD4" s="72" t="s">
        <v>133</v>
      </c>
      <c r="AE4" s="357" t="s">
        <v>141</v>
      </c>
      <c r="AF4" s="358" t="s">
        <v>99</v>
      </c>
      <c r="AG4" s="37" t="s">
        <v>136</v>
      </c>
      <c r="AH4" s="72" t="s">
        <v>137</v>
      </c>
      <c r="AI4" s="358" t="s">
        <v>98</v>
      </c>
      <c r="AJ4" s="358" t="s">
        <v>100</v>
      </c>
      <c r="AK4" s="357" t="s">
        <v>101</v>
      </c>
      <c r="AL4" s="358" t="s">
        <v>102</v>
      </c>
      <c r="AM4" s="358" t="s">
        <v>103</v>
      </c>
      <c r="AN4" s="358" t="s">
        <v>104</v>
      </c>
      <c r="AO4" s="357" t="s">
        <v>105</v>
      </c>
      <c r="AP4" s="225" t="s">
        <v>59</v>
      </c>
      <c r="AQ4" s="219" t="s">
        <v>55</v>
      </c>
      <c r="AR4" s="96" t="s">
        <v>130</v>
      </c>
    </row>
    <row r="5" spans="1:44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 aca="true" t="shared" si="5" ref="AA5:AA11">Y5-Z5</f>
        <v>-433.5425341379887</v>
      </c>
      <c r="AB5" s="345">
        <f>48000-4909.13</f>
        <v>43090.87</v>
      </c>
      <c r="AC5" s="391">
        <v>43459.56</v>
      </c>
      <c r="AD5" s="354">
        <f aca="true" t="shared" si="6" ref="AD5:AD11">AB5-AC5</f>
        <v>-368.68999999999505</v>
      </c>
      <c r="AE5" s="359">
        <f>S5+Z5+AC5</f>
        <v>146013.65</v>
      </c>
      <c r="AF5" s="345">
        <f>48000+4573.76</f>
        <v>52573.76</v>
      </c>
      <c r="AG5" s="391">
        <v>52761</v>
      </c>
      <c r="AH5" s="354">
        <f>AF5-AG5</f>
        <v>-187.23999999999796</v>
      </c>
      <c r="AI5" s="345">
        <f>48000-4573.76</f>
        <v>43426.24</v>
      </c>
      <c r="AJ5" s="345">
        <v>48000</v>
      </c>
      <c r="AK5" s="359">
        <f>AG5+AI5+AJ5</f>
        <v>144187.24</v>
      </c>
      <c r="AL5" s="345">
        <v>48000</v>
      </c>
      <c r="AM5" s="345">
        <v>31516.14</v>
      </c>
      <c r="AN5" s="345">
        <v>0</v>
      </c>
      <c r="AO5" s="359">
        <f aca="true" t="shared" si="7" ref="AO5:AO11">AL5+AM5+AN5</f>
        <v>79516.14</v>
      </c>
      <c r="AP5" s="133">
        <f aca="true" t="shared" si="8" ref="AP5:AP11">Q5+AE5+AK5+AO5</f>
        <v>517126.65</v>
      </c>
      <c r="AQ5" s="90">
        <f>Q5+AE5+AG5</f>
        <v>346184.27</v>
      </c>
      <c r="AR5" s="264"/>
    </row>
    <row r="6" spans="1:44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 t="shared" si="5"/>
        <v>-217.5500000000029</v>
      </c>
      <c r="AB6" s="345">
        <f>35000-227.67</f>
        <v>34772.33</v>
      </c>
      <c r="AC6" s="391">
        <v>34771.13</v>
      </c>
      <c r="AD6" s="345">
        <f t="shared" si="6"/>
        <v>1.2000000000043656</v>
      </c>
      <c r="AE6" s="359">
        <f>S6+Z6+AC6</f>
        <v>105970.06</v>
      </c>
      <c r="AF6" s="345">
        <f>35000+149.84</f>
        <v>35149.84</v>
      </c>
      <c r="AG6" s="391">
        <v>35211.19</v>
      </c>
      <c r="AH6" s="354">
        <f>AF6-AG6</f>
        <v>-61.35000000000582</v>
      </c>
      <c r="AI6" s="345">
        <f>35000-149.84</f>
        <v>34850.16</v>
      </c>
      <c r="AJ6" s="345">
        <v>35000</v>
      </c>
      <c r="AK6" s="359">
        <f>AG6+AI6+AJ6</f>
        <v>105061.35</v>
      </c>
      <c r="AL6" s="345">
        <v>35000</v>
      </c>
      <c r="AM6" s="345">
        <v>23683.13</v>
      </c>
      <c r="AN6" s="345">
        <v>0</v>
      </c>
      <c r="AO6" s="359">
        <f t="shared" si="7"/>
        <v>58683.130000000005</v>
      </c>
      <c r="AP6" s="133">
        <f t="shared" si="8"/>
        <v>376500.86</v>
      </c>
      <c r="AQ6" s="90">
        <f>Q6+AE6+AG6</f>
        <v>247967.57</v>
      </c>
      <c r="AR6" s="265"/>
    </row>
    <row r="7" spans="1:44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t="shared" si="5"/>
        <v>-2804.44464150352</v>
      </c>
      <c r="AB7" s="345">
        <f>26000-2305.07</f>
        <v>23694.93</v>
      </c>
      <c r="AC7" s="391">
        <v>24619.66</v>
      </c>
      <c r="AD7" s="354">
        <f t="shared" si="6"/>
        <v>-924.7299999999996</v>
      </c>
      <c r="AE7" s="359">
        <f aca="true" t="shared" si="9" ref="AE7:AE13">S7+Z7+AC7</f>
        <v>82420.51000000001</v>
      </c>
      <c r="AF7" s="345">
        <f>26000+2271.65</f>
        <v>28271.65</v>
      </c>
      <c r="AG7" s="391">
        <v>29076.51</v>
      </c>
      <c r="AH7" s="354">
        <f aca="true" t="shared" si="10" ref="AH7:AH13">AF7-AG7</f>
        <v>-804.859999999997</v>
      </c>
      <c r="AI7" s="345">
        <f>26000-2271.65</f>
        <v>23728.35</v>
      </c>
      <c r="AJ7" s="345">
        <v>26000</v>
      </c>
      <c r="AK7" s="359">
        <f aca="true" t="shared" si="11" ref="AK7:AK13">AG7+AI7+AJ7</f>
        <v>78804.86</v>
      </c>
      <c r="AL7" s="345">
        <v>26000</v>
      </c>
      <c r="AM7" s="345">
        <v>18759.34</v>
      </c>
      <c r="AN7" s="345">
        <v>0</v>
      </c>
      <c r="AO7" s="359">
        <f t="shared" si="7"/>
        <v>44759.34</v>
      </c>
      <c r="AP7" s="133">
        <f t="shared" si="8"/>
        <v>294934.26</v>
      </c>
      <c r="AQ7" s="90">
        <f aca="true" t="shared" si="12" ref="AQ7:AQ13">Q7+AE7+AG7</f>
        <v>200446.57</v>
      </c>
      <c r="AR7" s="265"/>
    </row>
    <row r="8" spans="1:44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5"/>
        <v>-49752.77045819879</v>
      </c>
      <c r="AB8" s="345">
        <v>28000</v>
      </c>
      <c r="AC8" s="391">
        <v>65373.36</v>
      </c>
      <c r="AD8" s="354">
        <f t="shared" si="6"/>
        <v>-37373.36</v>
      </c>
      <c r="AE8" s="359">
        <f t="shared" si="9"/>
        <v>182625.57</v>
      </c>
      <c r="AF8" s="345">
        <f>28000+360.52</f>
        <v>28360.52</v>
      </c>
      <c r="AG8" s="391">
        <v>66645.11</v>
      </c>
      <c r="AH8" s="354">
        <f t="shared" si="10"/>
        <v>-38284.59</v>
      </c>
      <c r="AI8" s="345">
        <f>28000-360.52</f>
        <v>27639.48</v>
      </c>
      <c r="AJ8" s="345">
        <v>28000</v>
      </c>
      <c r="AK8" s="359">
        <f t="shared" si="11"/>
        <v>122284.59</v>
      </c>
      <c r="AL8" s="345">
        <v>28000</v>
      </c>
      <c r="AM8" s="345">
        <v>17025.58</v>
      </c>
      <c r="AN8" s="345">
        <v>0</v>
      </c>
      <c r="AO8" s="359">
        <f t="shared" si="7"/>
        <v>45025.58</v>
      </c>
      <c r="AP8" s="133">
        <f t="shared" si="8"/>
        <v>557082.44</v>
      </c>
      <c r="AQ8" s="90">
        <f t="shared" si="12"/>
        <v>456417.38</v>
      </c>
      <c r="AR8" s="265"/>
    </row>
    <row r="9" spans="1:44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5"/>
        <v>-26775.90566895158</v>
      </c>
      <c r="AB9" s="345">
        <f>68000-1287.76+5196.34</f>
        <v>71908.58</v>
      </c>
      <c r="AC9" s="391">
        <v>100626.87</v>
      </c>
      <c r="AD9" s="354">
        <f t="shared" si="6"/>
        <v>-28718.289999999994</v>
      </c>
      <c r="AE9" s="359">
        <f t="shared" si="9"/>
        <v>266838.64</v>
      </c>
      <c r="AF9" s="345">
        <f>68000-5196.34+3044.85</f>
        <v>65848.51000000001</v>
      </c>
      <c r="AG9" s="391">
        <v>92177.52</v>
      </c>
      <c r="AH9" s="354">
        <f t="shared" si="10"/>
        <v>-26329.009999999995</v>
      </c>
      <c r="AI9" s="345">
        <f>68000-3044.85</f>
        <v>64955.15</v>
      </c>
      <c r="AJ9" s="345">
        <v>68000</v>
      </c>
      <c r="AK9" s="359">
        <f t="shared" si="11"/>
        <v>225132.67</v>
      </c>
      <c r="AL9" s="345">
        <v>68000</v>
      </c>
      <c r="AM9" s="345">
        <v>12667.05</v>
      </c>
      <c r="AN9" s="345">
        <v>0</v>
      </c>
      <c r="AO9" s="359">
        <f t="shared" si="7"/>
        <v>80667.05</v>
      </c>
      <c r="AP9" s="133">
        <f t="shared" si="8"/>
        <v>824300.3600000001</v>
      </c>
      <c r="AQ9" s="90">
        <f t="shared" si="12"/>
        <v>610678.16</v>
      </c>
      <c r="AR9" s="265"/>
    </row>
    <row r="10" spans="1:44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5"/>
        <v>-242.84820781231247</v>
      </c>
      <c r="AB10" s="345">
        <f>25000+149.2</f>
        <v>25149.2</v>
      </c>
      <c r="AC10" s="391">
        <v>25326.54</v>
      </c>
      <c r="AD10" s="354">
        <f t="shared" si="6"/>
        <v>-177.34000000000015</v>
      </c>
      <c r="AE10" s="359">
        <f t="shared" si="9"/>
        <v>77273.08</v>
      </c>
      <c r="AF10" s="345">
        <f>25000-149.2+427.78</f>
        <v>25278.579999999998</v>
      </c>
      <c r="AG10" s="391">
        <v>25278.58</v>
      </c>
      <c r="AH10" s="264">
        <f t="shared" si="10"/>
        <v>0</v>
      </c>
      <c r="AI10" s="345">
        <f>25000-427.78</f>
        <v>24572.22</v>
      </c>
      <c r="AJ10" s="345">
        <v>25000</v>
      </c>
      <c r="AK10" s="359">
        <f t="shared" si="11"/>
        <v>74850.8</v>
      </c>
      <c r="AL10" s="345">
        <v>20000</v>
      </c>
      <c r="AM10" s="345">
        <v>10828.19</v>
      </c>
      <c r="AN10" s="345">
        <v>0</v>
      </c>
      <c r="AO10" s="359">
        <f t="shared" si="7"/>
        <v>30828.190000000002</v>
      </c>
      <c r="AP10" s="133">
        <f t="shared" si="8"/>
        <v>263708.93</v>
      </c>
      <c r="AQ10" s="90">
        <f t="shared" si="12"/>
        <v>183308.52000000002</v>
      </c>
      <c r="AR10" s="265"/>
    </row>
    <row r="11" spans="1:44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5"/>
        <v>-198.35848939578864</v>
      </c>
      <c r="AB11" s="345">
        <f>57000-12580.53+34124.63</f>
        <v>78544.1</v>
      </c>
      <c r="AC11" s="391">
        <v>79063.45</v>
      </c>
      <c r="AD11" s="354">
        <f t="shared" si="6"/>
        <v>-519.3499999999913</v>
      </c>
      <c r="AE11" s="359">
        <f t="shared" si="9"/>
        <v>206346.18</v>
      </c>
      <c r="AF11" s="345">
        <f>58780-34124.63+44919.57</f>
        <v>69574.94</v>
      </c>
      <c r="AG11" s="391">
        <v>69916.62</v>
      </c>
      <c r="AH11" s="354">
        <f t="shared" si="10"/>
        <v>-341.679999999993</v>
      </c>
      <c r="AI11" s="345">
        <f>58780-44919.57</f>
        <v>13860.43</v>
      </c>
      <c r="AJ11" s="345">
        <v>58780</v>
      </c>
      <c r="AK11" s="359">
        <f t="shared" si="11"/>
        <v>142557.05</v>
      </c>
      <c r="AL11" s="345">
        <v>55000</v>
      </c>
      <c r="AM11" s="345">
        <v>11780.57</v>
      </c>
      <c r="AN11" s="345">
        <v>0</v>
      </c>
      <c r="AO11" s="359">
        <f t="shared" si="7"/>
        <v>66780.57</v>
      </c>
      <c r="AP11" s="133">
        <f t="shared" si="8"/>
        <v>584508.71</v>
      </c>
      <c r="AQ11" s="90">
        <f t="shared" si="12"/>
        <v>445087.70999999996</v>
      </c>
      <c r="AR11" s="265"/>
    </row>
    <row r="12" spans="1:44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3" ref="G12:M12">SUM(G5:G11)</f>
        <v>205261.1030769231</v>
      </c>
      <c r="H12" s="44">
        <f t="shared" si="13"/>
        <v>272549.07</v>
      </c>
      <c r="I12" s="44">
        <f t="shared" si="13"/>
        <v>5477.89</v>
      </c>
      <c r="J12" s="44">
        <f t="shared" si="13"/>
        <v>289870.7</v>
      </c>
      <c r="K12" s="44">
        <f t="shared" si="13"/>
        <v>341957.91000000003</v>
      </c>
      <c r="L12" s="44">
        <f t="shared" si="13"/>
        <v>-52087.210000000014</v>
      </c>
      <c r="M12" s="44">
        <f t="shared" si="13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14" ref="U12:AR12">SUM(U5:U11)</f>
        <v>268091.919375</v>
      </c>
      <c r="V12" s="44">
        <f t="shared" si="14"/>
        <v>1063.9400000000023</v>
      </c>
      <c r="W12" s="44">
        <f t="shared" si="14"/>
        <v>1846600</v>
      </c>
      <c r="X12" s="346">
        <f t="shared" si="14"/>
        <v>264743.92</v>
      </c>
      <c r="Y12" s="346">
        <f t="shared" si="14"/>
        <v>287118.02</v>
      </c>
      <c r="Z12" s="346">
        <f t="shared" si="14"/>
        <v>367543.43999999994</v>
      </c>
      <c r="AA12" s="346">
        <f t="shared" si="14"/>
        <v>-80425.41999999998</v>
      </c>
      <c r="AB12" s="346">
        <f t="shared" si="14"/>
        <v>305160.01</v>
      </c>
      <c r="AC12" s="346">
        <f>SUM(AC5:AC11)</f>
        <v>373240.57</v>
      </c>
      <c r="AD12" s="346">
        <f>AD6</f>
        <v>1.2000000000043656</v>
      </c>
      <c r="AE12" s="423">
        <f t="shared" si="14"/>
        <v>1067487.69</v>
      </c>
      <c r="AF12" s="44">
        <f t="shared" si="14"/>
        <v>305057.8</v>
      </c>
      <c r="AG12" s="44">
        <f>SUM(AG5:AG11)</f>
        <v>371066.53</v>
      </c>
      <c r="AH12" s="44">
        <v>0</v>
      </c>
      <c r="AI12" s="44">
        <f t="shared" si="14"/>
        <v>233032.03</v>
      </c>
      <c r="AJ12" s="44">
        <f t="shared" si="14"/>
        <v>288780</v>
      </c>
      <c r="AK12" s="44">
        <f t="shared" si="14"/>
        <v>892878.56</v>
      </c>
      <c r="AL12" s="44">
        <f t="shared" si="14"/>
        <v>280000</v>
      </c>
      <c r="AM12" s="44">
        <f t="shared" si="14"/>
        <v>126260</v>
      </c>
      <c r="AN12" s="44">
        <f t="shared" si="14"/>
        <v>0</v>
      </c>
      <c r="AO12" s="44">
        <f t="shared" si="14"/>
        <v>406260</v>
      </c>
      <c r="AP12" s="44">
        <f t="shared" si="14"/>
        <v>3418162.2100000004</v>
      </c>
      <c r="AQ12" s="44">
        <f t="shared" si="14"/>
        <v>2490090.18</v>
      </c>
      <c r="AR12" s="228">
        <f t="shared" si="14"/>
        <v>0</v>
      </c>
    </row>
    <row r="13" spans="1:44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>Y13-Z13</f>
        <v>-9840</v>
      </c>
      <c r="AB13" s="345">
        <v>10000</v>
      </c>
      <c r="AC13" s="391">
        <v>20000</v>
      </c>
      <c r="AD13" s="354">
        <f>AB13-AC13</f>
        <v>-10000</v>
      </c>
      <c r="AE13" s="359">
        <f t="shared" si="9"/>
        <v>49760</v>
      </c>
      <c r="AF13" s="345">
        <v>10000</v>
      </c>
      <c r="AG13" s="391">
        <v>16840</v>
      </c>
      <c r="AH13" s="354">
        <f t="shared" si="10"/>
        <v>-6840</v>
      </c>
      <c r="AI13" s="345">
        <v>10000</v>
      </c>
      <c r="AJ13" s="345">
        <v>10000</v>
      </c>
      <c r="AK13" s="359">
        <f t="shared" si="11"/>
        <v>36840</v>
      </c>
      <c r="AL13" s="345">
        <v>10000</v>
      </c>
      <c r="AM13" s="345">
        <v>10000</v>
      </c>
      <c r="AN13" s="345">
        <v>7000</v>
      </c>
      <c r="AO13" s="359">
        <f>AL13+AM13+AN13</f>
        <v>27000</v>
      </c>
      <c r="AP13" s="133">
        <f>Q13+AE13+AK13+AO13</f>
        <v>157530</v>
      </c>
      <c r="AQ13" s="90">
        <f t="shared" si="12"/>
        <v>110530</v>
      </c>
      <c r="AR13" s="265"/>
    </row>
    <row r="14" spans="1:44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15" ref="G14:M14">SUM(G13:G13)</f>
        <v>0</v>
      </c>
      <c r="H14" s="50">
        <f t="shared" si="15"/>
        <v>10000</v>
      </c>
      <c r="I14" s="50">
        <f t="shared" si="15"/>
        <v>0</v>
      </c>
      <c r="J14" s="50">
        <f t="shared" si="15"/>
        <v>10000</v>
      </c>
      <c r="K14" s="50">
        <f t="shared" si="15"/>
        <v>15600</v>
      </c>
      <c r="L14" s="50">
        <f t="shared" si="15"/>
        <v>-5600</v>
      </c>
      <c r="M14" s="50">
        <f t="shared" si="15"/>
        <v>10000</v>
      </c>
      <c r="N14" s="50"/>
      <c r="O14" s="50">
        <f>SUM(O13:O13)</f>
        <v>15960</v>
      </c>
      <c r="P14" s="50">
        <v>0</v>
      </c>
      <c r="Q14" s="187">
        <f aca="true" t="shared" si="16" ref="Q14:AR14">SUM(Q13:Q13)</f>
        <v>43930</v>
      </c>
      <c r="R14" s="187">
        <f t="shared" si="16"/>
        <v>10000</v>
      </c>
      <c r="S14" s="187">
        <f t="shared" si="16"/>
        <v>9920</v>
      </c>
      <c r="T14" s="187">
        <f t="shared" si="16"/>
        <v>80</v>
      </c>
      <c r="U14" s="50">
        <f t="shared" si="16"/>
        <v>0</v>
      </c>
      <c r="V14" s="50">
        <f t="shared" si="16"/>
        <v>0</v>
      </c>
      <c r="W14" s="50">
        <f t="shared" si="16"/>
        <v>77000</v>
      </c>
      <c r="X14" s="50">
        <f t="shared" si="16"/>
        <v>10000</v>
      </c>
      <c r="Y14" s="50">
        <f t="shared" si="16"/>
        <v>10000</v>
      </c>
      <c r="Z14" s="50">
        <f t="shared" si="16"/>
        <v>19840</v>
      </c>
      <c r="AA14" s="50">
        <f t="shared" si="16"/>
        <v>-9840</v>
      </c>
      <c r="AB14" s="50">
        <f t="shared" si="16"/>
        <v>10000</v>
      </c>
      <c r="AC14" s="50">
        <f>SUM(AC13:AC13)</f>
        <v>20000</v>
      </c>
      <c r="AD14" s="50"/>
      <c r="AE14" s="50">
        <f t="shared" si="16"/>
        <v>49760</v>
      </c>
      <c r="AF14" s="50">
        <f t="shared" si="16"/>
        <v>10000</v>
      </c>
      <c r="AG14" s="50">
        <f>SUM(AG13:AG13)</f>
        <v>16840</v>
      </c>
      <c r="AH14" s="50">
        <v>0</v>
      </c>
      <c r="AI14" s="50">
        <f t="shared" si="16"/>
        <v>10000</v>
      </c>
      <c r="AJ14" s="50">
        <f t="shared" si="16"/>
        <v>10000</v>
      </c>
      <c r="AK14" s="50">
        <f t="shared" si="16"/>
        <v>36840</v>
      </c>
      <c r="AL14" s="50">
        <f t="shared" si="16"/>
        <v>10000</v>
      </c>
      <c r="AM14" s="50">
        <f t="shared" si="16"/>
        <v>10000</v>
      </c>
      <c r="AN14" s="50">
        <f t="shared" si="16"/>
        <v>7000</v>
      </c>
      <c r="AO14" s="50">
        <f t="shared" si="16"/>
        <v>27000</v>
      </c>
      <c r="AP14" s="50">
        <f t="shared" si="16"/>
        <v>157530</v>
      </c>
      <c r="AQ14" s="50">
        <f t="shared" si="16"/>
        <v>110530</v>
      </c>
      <c r="AR14" s="50">
        <f t="shared" si="16"/>
        <v>0</v>
      </c>
    </row>
    <row r="15" spans="1:44" s="168" customFormat="1" ht="28.5" customHeight="1" thickBot="1">
      <c r="A15" s="166"/>
      <c r="B15" s="167" t="s">
        <v>4</v>
      </c>
      <c r="C15" s="43">
        <v>3643654.47</v>
      </c>
      <c r="D15" s="43">
        <f aca="true" t="shared" si="17" ref="D15:M15">D12+D14</f>
        <v>311450.93</v>
      </c>
      <c r="E15" s="43">
        <f t="shared" si="17"/>
        <v>346131.38999999996</v>
      </c>
      <c r="F15" s="35">
        <f t="shared" si="17"/>
        <v>5477.889999999999</v>
      </c>
      <c r="G15" s="43">
        <f t="shared" si="17"/>
        <v>205261.1030769231</v>
      </c>
      <c r="H15" s="43">
        <f t="shared" si="17"/>
        <v>282549.07</v>
      </c>
      <c r="I15" s="35">
        <f t="shared" si="17"/>
        <v>5477.89</v>
      </c>
      <c r="J15" s="43">
        <f t="shared" si="17"/>
        <v>299870.7</v>
      </c>
      <c r="K15" s="43">
        <f t="shared" si="17"/>
        <v>357557.91000000003</v>
      </c>
      <c r="L15" s="267">
        <f t="shared" si="17"/>
        <v>-57687.210000000014</v>
      </c>
      <c r="M15" s="43">
        <f t="shared" si="17"/>
        <v>288556.69</v>
      </c>
      <c r="N15" s="43"/>
      <c r="O15" s="43">
        <f aca="true" t="shared" si="18" ref="O15:AR15">O12+O14</f>
        <v>391776.66000000003</v>
      </c>
      <c r="P15" s="140">
        <f t="shared" si="18"/>
        <v>1.7300000000032014</v>
      </c>
      <c r="Q15" s="228">
        <f t="shared" si="18"/>
        <v>1095465.96</v>
      </c>
      <c r="R15" s="106">
        <f t="shared" si="18"/>
        <v>318855.64999999997</v>
      </c>
      <c r="S15" s="106">
        <f t="shared" si="18"/>
        <v>336623.68</v>
      </c>
      <c r="T15" s="140">
        <f t="shared" si="18"/>
        <v>1062.2099999999991</v>
      </c>
      <c r="U15" s="43">
        <f t="shared" si="18"/>
        <v>268091.919375</v>
      </c>
      <c r="V15" s="376">
        <f t="shared" si="18"/>
        <v>1063.9400000000023</v>
      </c>
      <c r="W15" s="43">
        <f t="shared" si="18"/>
        <v>1923600</v>
      </c>
      <c r="X15" s="43">
        <f t="shared" si="18"/>
        <v>274743.92</v>
      </c>
      <c r="Y15" s="43">
        <f t="shared" si="18"/>
        <v>297118.02</v>
      </c>
      <c r="Z15" s="43">
        <f t="shared" si="18"/>
        <v>387383.43999999994</v>
      </c>
      <c r="AA15" s="267">
        <f t="shared" si="18"/>
        <v>-90265.41999999998</v>
      </c>
      <c r="AB15" s="43">
        <f t="shared" si="18"/>
        <v>315160.01</v>
      </c>
      <c r="AC15" s="43">
        <f>AC12+AC14</f>
        <v>393240.57</v>
      </c>
      <c r="AD15" s="43">
        <f>AD12+AD14</f>
        <v>1.2000000000043656</v>
      </c>
      <c r="AE15" s="228">
        <f t="shared" si="18"/>
        <v>1117247.69</v>
      </c>
      <c r="AF15" s="43">
        <f t="shared" si="18"/>
        <v>315057.8</v>
      </c>
      <c r="AG15" s="43">
        <f>AG12+AG14</f>
        <v>387906.53</v>
      </c>
      <c r="AH15" s="43">
        <f>AH12+AH14</f>
        <v>0</v>
      </c>
      <c r="AI15" s="43">
        <f t="shared" si="18"/>
        <v>243032.03</v>
      </c>
      <c r="AJ15" s="43">
        <f t="shared" si="18"/>
        <v>298780</v>
      </c>
      <c r="AK15" s="43">
        <f t="shared" si="18"/>
        <v>929718.56</v>
      </c>
      <c r="AL15" s="43">
        <f t="shared" si="18"/>
        <v>290000</v>
      </c>
      <c r="AM15" s="43">
        <f t="shared" si="18"/>
        <v>136260</v>
      </c>
      <c r="AN15" s="43">
        <f t="shared" si="18"/>
        <v>7000</v>
      </c>
      <c r="AO15" s="43">
        <f t="shared" si="18"/>
        <v>433260</v>
      </c>
      <c r="AP15" s="43">
        <f t="shared" si="18"/>
        <v>3575692.2100000004</v>
      </c>
      <c r="AQ15" s="43">
        <f t="shared" si="18"/>
        <v>2600620.18</v>
      </c>
      <c r="AR15" s="228">
        <f t="shared" si="18"/>
        <v>0</v>
      </c>
    </row>
    <row r="16" spans="1:43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S17*100/U15</f>
        <v>0.3968564224092822</v>
      </c>
      <c r="W16" s="144"/>
      <c r="X16" s="144"/>
      <c r="Y16" s="144"/>
      <c r="Z16" s="402" t="s">
        <v>64</v>
      </c>
      <c r="AA16" s="403">
        <f>-(AA15)</f>
        <v>90265.41999999998</v>
      </c>
      <c r="AB16" s="144"/>
      <c r="AC16" s="402" t="s">
        <v>64</v>
      </c>
      <c r="AD16" s="403">
        <f>-(AD5+AD7+AD8+AD9+AD10+AD11+AD13)</f>
        <v>78081.75999999998</v>
      </c>
      <c r="AE16" s="144"/>
      <c r="AF16" s="144"/>
      <c r="AG16" s="402" t="s">
        <v>64</v>
      </c>
      <c r="AH16" s="403">
        <f>-(AH5+AH6+AH7+AH8+AH9+AH11+AH13)</f>
        <v>72848.72999999998</v>
      </c>
      <c r="AI16" s="144"/>
      <c r="AJ16" s="144"/>
      <c r="AK16" s="144"/>
      <c r="AL16" s="144"/>
      <c r="AM16" s="144"/>
      <c r="AN16" s="144"/>
      <c r="AO16" s="144"/>
      <c r="AP16" s="272"/>
      <c r="AQ16" s="230"/>
    </row>
    <row r="17" spans="1:91" s="42" customFormat="1" ht="18.7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Q17" s="581" t="s">
        <v>106</v>
      </c>
      <c r="R17" s="582"/>
      <c r="S17" s="353">
        <f>P15+T15</f>
        <v>1063.9400000000023</v>
      </c>
      <c r="AP17" s="226"/>
      <c r="AQ17" s="226"/>
      <c r="AR17" s="226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</row>
    <row r="18" spans="2:44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84</v>
      </c>
      <c r="N18" s="300" t="s">
        <v>77</v>
      </c>
      <c r="O18" s="299" t="s">
        <v>32</v>
      </c>
      <c r="P18" s="72" t="s">
        <v>49</v>
      </c>
      <c r="Q18" s="185" t="s">
        <v>58</v>
      </c>
      <c r="R18" s="311" t="s">
        <v>86</v>
      </c>
      <c r="S18" s="37" t="s">
        <v>95</v>
      </c>
      <c r="T18" s="72" t="s">
        <v>96</v>
      </c>
      <c r="U18" s="372"/>
      <c r="V18" s="390" t="s">
        <v>122</v>
      </c>
      <c r="W18" s="334" t="s">
        <v>97</v>
      </c>
      <c r="X18" s="311" t="s">
        <v>88</v>
      </c>
      <c r="Y18" s="377" t="s">
        <v>123</v>
      </c>
      <c r="Z18" s="37" t="s">
        <v>127</v>
      </c>
      <c r="AA18" s="72" t="s">
        <v>128</v>
      </c>
      <c r="AB18" s="311" t="s">
        <v>89</v>
      </c>
      <c r="AC18" s="37" t="s">
        <v>132</v>
      </c>
      <c r="AD18" s="72" t="s">
        <v>133</v>
      </c>
      <c r="AE18" s="185" t="s">
        <v>87</v>
      </c>
      <c r="AF18" s="358" t="s">
        <v>99</v>
      </c>
      <c r="AG18" s="37" t="s">
        <v>136</v>
      </c>
      <c r="AH18" s="72" t="s">
        <v>137</v>
      </c>
      <c r="AI18" s="358" t="s">
        <v>98</v>
      </c>
      <c r="AJ18" s="311" t="s">
        <v>113</v>
      </c>
      <c r="AK18" s="185" t="s">
        <v>101</v>
      </c>
      <c r="AL18" s="311" t="s">
        <v>114</v>
      </c>
      <c r="AM18" s="311" t="s">
        <v>115</v>
      </c>
      <c r="AN18" s="311" t="s">
        <v>116</v>
      </c>
      <c r="AO18" s="185" t="s">
        <v>105</v>
      </c>
      <c r="AP18" s="225" t="s">
        <v>59</v>
      </c>
      <c r="AQ18" s="219" t="s">
        <v>55</v>
      </c>
      <c r="AR18" s="96" t="s">
        <v>130</v>
      </c>
    </row>
    <row r="19" spans="2:44" s="28" customFormat="1" ht="27.7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M15+'MAR2022-R'!P21</f>
        <v>487743.3148636499</v>
      </c>
      <c r="N19" s="301">
        <f>M15+'MAR2022-R'!P21</f>
        <v>487743.3148636499</v>
      </c>
      <c r="O19" s="289">
        <f>O15+'MAR2022-R'!Q21</f>
        <v>759655.66</v>
      </c>
      <c r="P19" s="82">
        <f>P15+'MAR2022-R'!R21</f>
        <v>986.0518275625462</v>
      </c>
      <c r="Q19" s="291">
        <f>Q15+'IUL2022-R'!S21</f>
        <v>1966512.96</v>
      </c>
      <c r="R19" s="290">
        <f>R15+'APR2022-R'!T21</f>
        <v>520804.25</v>
      </c>
      <c r="S19" s="350">
        <f>S15+'APR2022-R'!U21</f>
        <v>529631.6799999999</v>
      </c>
      <c r="T19" s="290">
        <f>T15+'APR2022-R'!V21</f>
        <v>16602.81</v>
      </c>
      <c r="U19" s="290"/>
      <c r="V19" s="82">
        <f>V15+'APR2022-R'!X21</f>
        <v>17588.86182756255</v>
      </c>
      <c r="W19" s="301">
        <f>W15+'APR2022-R'!Y21</f>
        <v>3206000</v>
      </c>
      <c r="X19" s="290">
        <f>X15+'APR2022-R'!Z21</f>
        <v>468266.26</v>
      </c>
      <c r="Y19" s="379">
        <f>Y15+'MAI2022-R'!AA21</f>
        <v>518660.4418275626</v>
      </c>
      <c r="Z19" s="350">
        <f>Z15+'MAI2022-R'!AB21</f>
        <v>693094.44</v>
      </c>
      <c r="AA19" s="82">
        <f>'MAI2022-R'!AC21</f>
        <v>341</v>
      </c>
      <c r="AB19" s="290">
        <f>AB15+'IUL2022-R'!AD21</f>
        <v>512500.01</v>
      </c>
      <c r="AC19" s="350">
        <f>AC15+'IUL2022-R'!AE21</f>
        <v>679824.5700000001</v>
      </c>
      <c r="AD19" s="82">
        <f>AD15+'IUL2022-R'!AF21</f>
        <v>390.20000000000437</v>
      </c>
      <c r="AE19" s="370">
        <f>AE15+'IUL2022-R'!AG21</f>
        <v>1902550.69</v>
      </c>
      <c r="AF19" s="290">
        <f>AF15+'IUL2022-R'!AH21</f>
        <v>499277.8</v>
      </c>
      <c r="AG19" s="350">
        <f>AG15+'IUL2022-R'!AI21</f>
        <v>626636.53</v>
      </c>
      <c r="AH19" s="82">
        <f>AH15+'IUL2022-R'!AJ21</f>
        <v>1067</v>
      </c>
      <c r="AI19" s="290">
        <f>AI15+'IUL2022-R'!AK21</f>
        <v>437916.87</v>
      </c>
      <c r="AJ19" s="290">
        <f>AJ15+'APR2022-R'!AF21</f>
        <v>495000</v>
      </c>
      <c r="AK19" s="370">
        <f>AK15+'IUL2022-R'!AM21</f>
        <v>1559553.4</v>
      </c>
      <c r="AL19" s="290">
        <f>AL15+'APR2022-R'!AH21</f>
        <v>487043</v>
      </c>
      <c r="AM19" s="290">
        <f>AM15+'APR2022-R'!AI21</f>
        <v>233642.41502272003</v>
      </c>
      <c r="AN19" s="290">
        <f>AN15+'APR2022-R'!AJ21</f>
        <v>15314.58453192003</v>
      </c>
      <c r="AO19" s="291">
        <f>AO15+'APR2022-R'!AK21</f>
        <v>735999.99955464</v>
      </c>
      <c r="AP19" s="360">
        <f>AP15+'IUL2022-R'!AR21</f>
        <v>6164617.04955464</v>
      </c>
      <c r="AQ19" s="361">
        <f>AQ15+'IUL2022-R'!AS21</f>
        <v>4495700.18</v>
      </c>
      <c r="AR19" s="290"/>
    </row>
    <row r="20" spans="3:43" ht="41.25" customHeight="1" thickBot="1">
      <c r="C20" s="246" t="s">
        <v>125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N20" s="585" t="s">
        <v>91</v>
      </c>
      <c r="O20" s="586"/>
      <c r="P20" s="206">
        <f>P16+'MAR2022-R'!R22</f>
        <v>272898.39</v>
      </c>
      <c r="Q20" s="282"/>
      <c r="R20" s="585" t="s">
        <v>117</v>
      </c>
      <c r="S20" s="586"/>
      <c r="T20" s="206">
        <f>T16+'APR2022-R'!V22</f>
        <v>25430.23999999999</v>
      </c>
      <c r="U20" s="282"/>
      <c r="V20" s="282"/>
      <c r="W20" s="282"/>
      <c r="X20" s="371">
        <f>S17+'APR2022-R'!V24</f>
        <v>17588.86182756255</v>
      </c>
      <c r="Y20" s="585" t="s">
        <v>129</v>
      </c>
      <c r="Z20" s="586"/>
      <c r="AA20" s="401">
        <f>AA16+'MAI2022-R'!AB22</f>
        <v>174774.9989529915</v>
      </c>
      <c r="AB20" s="585" t="s">
        <v>135</v>
      </c>
      <c r="AC20" s="586"/>
      <c r="AD20" s="401">
        <f>AD16+'IUL2022-R'!AE22</f>
        <v>167504.75999999998</v>
      </c>
      <c r="AE20" s="282"/>
      <c r="AF20" s="282"/>
      <c r="AG20" s="585" t="s">
        <v>138</v>
      </c>
      <c r="AH20" s="586"/>
      <c r="AI20" s="401">
        <f>AH16+'IUL2022-R'!AJ22</f>
        <v>128425.72999999998</v>
      </c>
      <c r="AJ20" s="282"/>
      <c r="AK20" s="282"/>
      <c r="AL20" s="282"/>
      <c r="AM20" s="282"/>
      <c r="AN20" s="282"/>
      <c r="AO20" s="282"/>
      <c r="AP20" s="330"/>
      <c r="AQ20" s="331"/>
    </row>
    <row r="21" spans="2:43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412" t="s">
        <v>134</v>
      </c>
      <c r="AD21" s="413">
        <f>'IUL2022-R'!AF24</f>
        <v>210.00000000000182</v>
      </c>
      <c r="AE21" s="88"/>
      <c r="AF21" s="88"/>
      <c r="AG21" s="88"/>
      <c r="AH21" s="88"/>
      <c r="AI21" s="88">
        <f>AI20-82730</f>
        <v>45695.72999999998</v>
      </c>
      <c r="AJ21" s="88"/>
      <c r="AK21" s="88"/>
      <c r="AL21" s="88"/>
      <c r="AM21" s="88"/>
      <c r="AN21" s="88"/>
      <c r="AO21" s="88"/>
      <c r="AP21" s="279" t="s">
        <v>70</v>
      </c>
      <c r="AQ21" s="234">
        <f>AP19-6120510</f>
        <v>44107.04955464043</v>
      </c>
    </row>
    <row r="22" spans="2:43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59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233" t="e">
        <f>#REF!</f>
        <v>#REF!</v>
      </c>
      <c r="AQ22" s="41" t="e">
        <f>AQ21-#REF!</f>
        <v>#REF!</v>
      </c>
    </row>
    <row r="23" spans="2:43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61" t="e">
        <f>C21+Q21-K22</f>
        <v>#REF!</v>
      </c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232">
        <v>667000</v>
      </c>
      <c r="AQ23" s="211"/>
    </row>
    <row r="24" spans="2:43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5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116" t="e">
        <f>AP22-AP23</f>
        <v>#REF!</v>
      </c>
      <c r="AQ24" s="36"/>
    </row>
    <row r="25" spans="2:43" ht="19.5" customHeight="1" hidden="1" thickBot="1">
      <c r="B25" s="188"/>
      <c r="C25" s="214">
        <v>72293.07</v>
      </c>
      <c r="D25" s="215"/>
      <c r="E25" s="215">
        <v>3323950</v>
      </c>
      <c r="Q25" s="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116"/>
      <c r="AQ25" s="36"/>
    </row>
    <row r="26" spans="2:43" ht="25.5" customHeight="1" hidden="1" thickBot="1">
      <c r="B26" s="217"/>
      <c r="C26" s="218">
        <v>3982180</v>
      </c>
      <c r="Q26" s="152">
        <v>3982180</v>
      </c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210"/>
      <c r="AQ26" s="212"/>
    </row>
    <row r="27" spans="2:43" ht="15" customHeight="1" thickBot="1">
      <c r="B27" s="188"/>
      <c r="C27" s="220"/>
      <c r="D27" s="221"/>
      <c r="E27" s="222"/>
      <c r="AP27" s="210"/>
      <c r="AQ27" s="100"/>
    </row>
    <row r="28" spans="2:42" ht="25.5" customHeight="1" thickBot="1">
      <c r="B28" s="223" t="s">
        <v>60</v>
      </c>
      <c r="C28" s="244" t="s">
        <v>142</v>
      </c>
      <c r="D28" s="247" t="s">
        <v>118</v>
      </c>
      <c r="E28" s="183"/>
      <c r="F28" s="302"/>
      <c r="G28" s="302"/>
      <c r="H28" s="302"/>
      <c r="I28" s="302"/>
      <c r="J28" s="302"/>
      <c r="K28" s="302"/>
      <c r="L28" s="302"/>
      <c r="M28" s="302"/>
      <c r="N28" s="216"/>
      <c r="O28" s="216"/>
      <c r="P28" s="216"/>
      <c r="Q28" s="243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404" t="s">
        <v>131</v>
      </c>
      <c r="AD28" s="414">
        <f>AA19+AD19+AH19</f>
        <v>1798.2000000000044</v>
      </c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227">
        <v>44785</v>
      </c>
    </row>
    <row r="29" spans="2:34" ht="25.5" customHeight="1" thickBot="1">
      <c r="B29" s="326" t="s">
        <v>92</v>
      </c>
      <c r="C29" s="327" t="s">
        <v>93</v>
      </c>
      <c r="D29" s="2" t="s">
        <v>120</v>
      </c>
      <c r="AF29" s="420"/>
      <c r="AG29" s="421" t="s">
        <v>139</v>
      </c>
      <c r="AH29" s="422">
        <f>Q19+AE19</f>
        <v>3869063.65</v>
      </c>
    </row>
    <row r="30" spans="2:5" ht="25.5" customHeight="1" thickBot="1">
      <c r="B30" s="328" t="s">
        <v>94</v>
      </c>
      <c r="C30" s="329">
        <f>1773.9+500</f>
        <v>2273.9</v>
      </c>
      <c r="E30" s="26">
        <f>E19+K19+N19</f>
        <v>1694600.6148636497</v>
      </c>
    </row>
  </sheetData>
  <sheetProtection/>
  <mergeCells count="11">
    <mergeCell ref="AG20:AH20"/>
    <mergeCell ref="AB20:AC20"/>
    <mergeCell ref="G20:I20"/>
    <mergeCell ref="N20:O20"/>
    <mergeCell ref="J16:K16"/>
    <mergeCell ref="J17:K17"/>
    <mergeCell ref="J20:K20"/>
    <mergeCell ref="Y20:Z20"/>
    <mergeCell ref="R16:S16"/>
    <mergeCell ref="R20:S20"/>
    <mergeCell ref="Q17:R17"/>
  </mergeCells>
  <printOptions/>
  <pageMargins left="0.16" right="0.16" top="0.48" bottom="0.21" header="0.68" footer="0.17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L69"/>
  <sheetViews>
    <sheetView workbookViewId="0" topLeftCell="A4">
      <pane xSplit="7200" ySplit="1530" topLeftCell="AB13" activePane="bottomRight" state="split"/>
      <selection pane="topLeft" activeCell="AC25" sqref="AC25"/>
      <selection pane="topRight" activeCell="AG4" sqref="AG1:AM16384"/>
      <selection pane="bottomLeft" activeCell="B34" sqref="B34"/>
      <selection pane="bottomRight" activeCell="AP4" sqref="AP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75390625" style="69" bestFit="1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9.375" style="8" customWidth="1"/>
    <col min="20" max="20" width="8.625" style="313" hidden="1" customWidth="1"/>
    <col min="21" max="25" width="8.625" style="313" customWidth="1"/>
    <col min="26" max="26" width="7.50390625" style="313" hidden="1" customWidth="1"/>
    <col min="27" max="29" width="8.375" style="313" customWidth="1"/>
    <col min="30" max="30" width="7.50390625" style="313" customWidth="1"/>
    <col min="31" max="31" width="8.625" style="313" bestFit="1" customWidth="1"/>
    <col min="32" max="32" width="7.75390625" style="313" bestFit="1" customWidth="1"/>
    <col min="33" max="34" width="7.75390625" style="313" hidden="1" customWidth="1"/>
    <col min="35" max="35" width="8.75390625" style="313" hidden="1" customWidth="1"/>
    <col min="36" max="37" width="7.75390625" style="313" hidden="1" customWidth="1"/>
    <col min="38" max="38" width="6.875" style="313" hidden="1" customWidth="1"/>
    <col min="39" max="39" width="8.625" style="313" hidden="1" customWidth="1"/>
    <col min="40" max="40" width="10.125" style="26" bestFit="1" customWidth="1"/>
    <col min="41" max="41" width="9.875" style="2" bestFit="1" customWidth="1"/>
    <col min="42" max="42" width="9.25390625" style="1" bestFit="1" customWidth="1"/>
    <col min="43" max="43" width="11.25390625" style="1" customWidth="1"/>
    <col min="44" max="16384" width="9.00390625" style="1" customWidth="1"/>
  </cols>
  <sheetData>
    <row r="1" spans="1:41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25"/>
      <c r="AO1" s="13"/>
    </row>
    <row r="2" ht="43.5" customHeight="1">
      <c r="A2" s="8"/>
    </row>
    <row r="3" spans="1:41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25"/>
      <c r="AO3" s="13"/>
    </row>
    <row r="4" spans="1:42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185" t="s">
        <v>87</v>
      </c>
      <c r="AF4" s="311" t="s">
        <v>111</v>
      </c>
      <c r="AG4" s="311" t="s">
        <v>112</v>
      </c>
      <c r="AH4" s="343" t="s">
        <v>113</v>
      </c>
      <c r="AI4" s="185" t="s">
        <v>101</v>
      </c>
      <c r="AJ4" s="311" t="s">
        <v>114</v>
      </c>
      <c r="AK4" s="311" t="s">
        <v>115</v>
      </c>
      <c r="AL4" s="343" t="s">
        <v>116</v>
      </c>
      <c r="AM4" s="185" t="s">
        <v>105</v>
      </c>
      <c r="AN4" s="317" t="s">
        <v>59</v>
      </c>
      <c r="AO4" s="219" t="s">
        <v>55</v>
      </c>
      <c r="AP4" s="96" t="s">
        <v>130</v>
      </c>
    </row>
    <row r="5" spans="1:42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78">
        <f>U5+AB5+AD5</f>
        <v>288558</v>
      </c>
      <c r="AF5" s="362">
        <v>99000</v>
      </c>
      <c r="AG5" s="362">
        <v>99000</v>
      </c>
      <c r="AH5" s="363">
        <v>99000</v>
      </c>
      <c r="AI5" s="78">
        <f>AF5+AG5+AH5</f>
        <v>297000</v>
      </c>
      <c r="AJ5" s="362">
        <v>99000</v>
      </c>
      <c r="AK5" s="362">
        <v>19719.81300700002</v>
      </c>
      <c r="AL5" s="363">
        <v>0</v>
      </c>
      <c r="AM5" s="78">
        <f>AJ5+AK5+AL5</f>
        <v>118719.81300700002</v>
      </c>
      <c r="AN5" s="235">
        <f>S5+AE5+AI5+AM5</f>
        <v>1003585.813007</v>
      </c>
      <c r="AO5" s="148">
        <f>S5+U5</f>
        <v>389867</v>
      </c>
      <c r="AP5" s="86">
        <f>-AC5</f>
        <v>-1</v>
      </c>
    </row>
    <row r="6" spans="1:42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M6*M22/100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</f>
        <v>30521</v>
      </c>
      <c r="AE6" s="77">
        <f>U6+AB6+AD6</f>
        <v>126047</v>
      </c>
      <c r="AF6" s="83">
        <v>40000</v>
      </c>
      <c r="AG6" s="83">
        <v>40000</v>
      </c>
      <c r="AH6" s="364">
        <v>40000</v>
      </c>
      <c r="AI6" s="77">
        <f>AF6+AG6+AH6</f>
        <v>120000</v>
      </c>
      <c r="AJ6" s="83">
        <v>40000</v>
      </c>
      <c r="AK6" s="83">
        <v>29643.709310200007</v>
      </c>
      <c r="AL6" s="364">
        <v>0</v>
      </c>
      <c r="AM6" s="77">
        <f>AJ6+AK6+AL6</f>
        <v>69643.7093102</v>
      </c>
      <c r="AN6" s="236">
        <f>S6+AE6+AI6+AM6</f>
        <v>481457.7093102</v>
      </c>
      <c r="AO6" s="149">
        <f>S6+U6</f>
        <v>205927</v>
      </c>
      <c r="AP6" s="87"/>
    </row>
    <row r="7" spans="1:42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M7*M22/100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W7*X24/100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 aca="true" t="shared" si="0" ref="AC7:AC19">AA7-AB7</f>
        <v>-78424.99874254865</v>
      </c>
      <c r="AD7" s="364">
        <f>20000-750.53</f>
        <v>19249.47</v>
      </c>
      <c r="AE7" s="77">
        <f aca="true" t="shared" si="1" ref="AE7:AE19">U7+AB7+AD7</f>
        <v>160409.47</v>
      </c>
      <c r="AF7" s="83">
        <v>20000</v>
      </c>
      <c r="AG7" s="83">
        <v>20000</v>
      </c>
      <c r="AH7" s="364">
        <v>20000</v>
      </c>
      <c r="AI7" s="77">
        <f>AF7+AG7+AH7</f>
        <v>60000</v>
      </c>
      <c r="AJ7" s="83">
        <v>20623</v>
      </c>
      <c r="AK7" s="83">
        <v>20000.19</v>
      </c>
      <c r="AL7" s="364">
        <v>0.0030900000165274832</v>
      </c>
      <c r="AM7" s="77">
        <f>AJ7+AK7+AL7</f>
        <v>40623.193090000015</v>
      </c>
      <c r="AN7" s="236">
        <f>S7+AE7+AI7+AM7</f>
        <v>569212.6630899999</v>
      </c>
      <c r="AO7" s="149">
        <f>S7+U7</f>
        <v>336665</v>
      </c>
      <c r="AP7" s="87"/>
    </row>
    <row r="8" spans="1:42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>D8-E8</f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>H8+I8+1121.78</f>
        <v>12357.004863649889</v>
      </c>
      <c r="K8" s="45">
        <v>12357</v>
      </c>
      <c r="L8" s="32">
        <f>J8-K8</f>
        <v>0.0048636498886480695</v>
      </c>
      <c r="M8" s="268">
        <f>(C8+E8+K8)/14</f>
        <v>13134.07142857143</v>
      </c>
      <c r="N8" s="33">
        <f>11966.32-1121.78</f>
        <v>10844.539999999999</v>
      </c>
      <c r="O8" s="268">
        <f>M8*M22/100</f>
        <v>238.97182756254446</v>
      </c>
      <c r="P8" s="298">
        <f>N8+O8</f>
        <v>11083.511827562543</v>
      </c>
      <c r="Q8" s="45">
        <v>11083</v>
      </c>
      <c r="R8" s="32">
        <f>P8-Q8</f>
        <v>0.5118275625427486</v>
      </c>
      <c r="S8" s="77">
        <f>E8+K8+Q8</f>
        <v>36577</v>
      </c>
      <c r="T8" s="315">
        <f>12087.19+1111.81</f>
        <v>13199</v>
      </c>
      <c r="U8" s="337">
        <v>13199</v>
      </c>
      <c r="V8" s="315">
        <f>T8-U8</f>
        <v>0</v>
      </c>
      <c r="W8" s="265">
        <f>(C8+S8+U8)/16</f>
        <v>13009.9375</v>
      </c>
      <c r="X8" s="315">
        <f>W8*X24/100</f>
        <v>1797.1807805540595</v>
      </c>
      <c r="Y8" s="341">
        <v>77123.49</v>
      </c>
      <c r="Z8" s="83">
        <f>12000-1111.81</f>
        <v>10888.19</v>
      </c>
      <c r="AA8" s="394">
        <f>X8+Z8+1265.63</f>
        <v>13951.000780554059</v>
      </c>
      <c r="AB8" s="397">
        <v>13951</v>
      </c>
      <c r="AC8" s="395">
        <f t="shared" si="0"/>
        <v>0.0007805540590197779</v>
      </c>
      <c r="AD8" s="364">
        <f>12000-1265.63</f>
        <v>10734.369999999999</v>
      </c>
      <c r="AE8" s="77">
        <f t="shared" si="1"/>
        <v>37884.369999999995</v>
      </c>
      <c r="AF8" s="83">
        <v>12000</v>
      </c>
      <c r="AG8" s="83">
        <v>12000</v>
      </c>
      <c r="AH8" s="364">
        <v>12000</v>
      </c>
      <c r="AI8" s="77">
        <f>AF8+AG8+AH8</f>
        <v>36000</v>
      </c>
      <c r="AJ8" s="83">
        <v>12000</v>
      </c>
      <c r="AK8" s="83">
        <v>5123.493752520008</v>
      </c>
      <c r="AL8" s="364">
        <v>0</v>
      </c>
      <c r="AM8" s="77">
        <f>AJ8+AK8+AL8</f>
        <v>17123.493752520008</v>
      </c>
      <c r="AN8" s="236">
        <f>S8+AE8+AI8+AM8</f>
        <v>127584.86375252</v>
      </c>
      <c r="AO8" s="149">
        <f>S8+U8</f>
        <v>49776</v>
      </c>
      <c r="AP8" s="87"/>
    </row>
    <row r="9" spans="1:42" s="5" customFormat="1" ht="26.25" customHeight="1" thickBo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>D9-E9</f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>H9+I9+669.26</f>
        <v>7429.99983933246</v>
      </c>
      <c r="K9" s="45">
        <v>7745</v>
      </c>
      <c r="L9" s="204">
        <f>J9-K9</f>
        <v>-315.0001606675396</v>
      </c>
      <c r="M9" s="268">
        <f>(C9+E9+K9)/14</f>
        <v>7917.5</v>
      </c>
      <c r="N9" s="33">
        <f>7170.08-669.26</f>
        <v>6500.82</v>
      </c>
      <c r="O9" s="268">
        <f>M9*M22/100</f>
        <v>144.05734391016952</v>
      </c>
      <c r="P9" s="298">
        <f>N9+O9</f>
        <v>6644.87734391017</v>
      </c>
      <c r="Q9" s="45">
        <v>6850</v>
      </c>
      <c r="R9" s="204">
        <f>P9-Q9</f>
        <v>-205.12265608983034</v>
      </c>
      <c r="S9" s="77">
        <f>E9+K9+Q9</f>
        <v>22320</v>
      </c>
      <c r="T9" s="315">
        <f>7242.51+722.49</f>
        <v>7965</v>
      </c>
      <c r="U9" s="337">
        <v>7965</v>
      </c>
      <c r="V9" s="315">
        <f>T9-U9</f>
        <v>0</v>
      </c>
      <c r="W9" s="265">
        <f>(C9+S9+U9)/16</f>
        <v>7853.75</v>
      </c>
      <c r="X9" s="315">
        <f>W9*X24/100</f>
        <v>1084.9097895571324</v>
      </c>
      <c r="Y9" s="341">
        <v>46932.6</v>
      </c>
      <c r="Z9" s="83">
        <f>7000-722.49</f>
        <v>6277.51</v>
      </c>
      <c r="AA9" s="394">
        <f>X9+Z9</f>
        <v>7362.419789557132</v>
      </c>
      <c r="AB9" s="397">
        <v>7560</v>
      </c>
      <c r="AC9" s="400">
        <f t="shared" si="0"/>
        <v>-197.5802104428676</v>
      </c>
      <c r="AD9" s="364">
        <v>7000</v>
      </c>
      <c r="AE9" s="261">
        <f t="shared" si="1"/>
        <v>22525</v>
      </c>
      <c r="AF9" s="83">
        <v>7000</v>
      </c>
      <c r="AG9" s="83">
        <v>7000</v>
      </c>
      <c r="AH9" s="364">
        <v>7000</v>
      </c>
      <c r="AI9" s="77">
        <f>AF9+AG9+AH9</f>
        <v>21000</v>
      </c>
      <c r="AJ9" s="83">
        <v>7000</v>
      </c>
      <c r="AK9" s="83">
        <v>4932.596685000004</v>
      </c>
      <c r="AL9" s="364">
        <v>0</v>
      </c>
      <c r="AM9" s="77">
        <f>AJ9+AK9+AL9</f>
        <v>11932.596685000004</v>
      </c>
      <c r="AN9" s="236">
        <f>S9+AE9+AI9+AM9</f>
        <v>77777.596685</v>
      </c>
      <c r="AO9" s="149">
        <f>S9+U9</f>
        <v>30285</v>
      </c>
      <c r="AP9" s="87"/>
    </row>
    <row r="10" spans="1:42" s="5" customFormat="1" ht="20.25" customHeight="1" thickBot="1">
      <c r="A10" s="4"/>
      <c r="B10" s="125" t="s">
        <v>1</v>
      </c>
      <c r="C10" s="47">
        <v>3105146</v>
      </c>
      <c r="D10" s="47">
        <f>SUM(D5:D9)</f>
        <v>185273.01</v>
      </c>
      <c r="E10" s="47">
        <f>SUM(E5:E9)</f>
        <v>243687</v>
      </c>
      <c r="F10" s="47">
        <f>F5+F8</f>
        <v>4125.550000000003</v>
      </c>
      <c r="G10" s="47">
        <f>SUM(G5:G9)</f>
        <v>173459</v>
      </c>
      <c r="H10" s="47">
        <f>SUM(H5:H9)</f>
        <v>181276.47</v>
      </c>
      <c r="I10" s="47">
        <f>SUM(I5:I9)</f>
        <v>5312.620000000002</v>
      </c>
      <c r="J10" s="47">
        <f>SUM(J5:J9)</f>
        <v>188535.34</v>
      </c>
      <c r="K10" s="47">
        <f>SUM(K5:K9)</f>
        <v>234311</v>
      </c>
      <c r="L10" s="47">
        <f>L5+L8</f>
        <v>10.36486364988923</v>
      </c>
      <c r="M10" s="47">
        <f>SUM(M5:M9)</f>
        <v>170588</v>
      </c>
      <c r="N10" s="47">
        <f>SUM(N5:N9)</f>
        <v>181350.30000000002</v>
      </c>
      <c r="O10" s="47">
        <f>SUM(O5:O9)</f>
        <v>3103.8148636498895</v>
      </c>
      <c r="P10" s="47">
        <f>SUM(P5:P9)</f>
        <v>184483.17486364988</v>
      </c>
      <c r="Q10" s="47">
        <f>SUM(Q5:Q9)</f>
        <v>354154</v>
      </c>
      <c r="R10" s="47">
        <f>R5+R8</f>
        <v>5.871827562543331</v>
      </c>
      <c r="S10" s="47">
        <f>S5+S8</f>
        <v>335885</v>
      </c>
      <c r="T10" s="335">
        <f>SUM(T5:T9)</f>
        <v>187096.62</v>
      </c>
      <c r="U10" s="335">
        <f>SUM(U5:U9)</f>
        <v>180368</v>
      </c>
      <c r="V10" s="335">
        <f>V5+V6</f>
        <v>13328.620000000003</v>
      </c>
      <c r="W10" s="347">
        <f aca="true" t="shared" si="2" ref="W10:AP10">SUM(W5:W9)</f>
        <v>119625.25</v>
      </c>
      <c r="X10" s="347">
        <f t="shared" si="2"/>
        <v>16524.921827562546</v>
      </c>
      <c r="Y10" s="347">
        <f t="shared" si="2"/>
        <v>1148042.8</v>
      </c>
      <c r="Z10" s="347">
        <f t="shared" si="2"/>
        <v>176022.34000000003</v>
      </c>
      <c r="AA10" s="347">
        <f t="shared" si="2"/>
        <v>204042.42182756256</v>
      </c>
      <c r="AB10" s="347">
        <f>SUM(AB5:AB9)</f>
        <v>288551</v>
      </c>
      <c r="AC10" s="347">
        <f>AC5</f>
        <v>1</v>
      </c>
      <c r="AD10" s="381">
        <f t="shared" si="2"/>
        <v>166504.84</v>
      </c>
      <c r="AE10" s="406">
        <f t="shared" si="2"/>
        <v>635423.84</v>
      </c>
      <c r="AF10" s="347">
        <f t="shared" si="2"/>
        <v>178000</v>
      </c>
      <c r="AG10" s="347">
        <f t="shared" si="2"/>
        <v>178000</v>
      </c>
      <c r="AH10" s="347">
        <f t="shared" si="2"/>
        <v>178000</v>
      </c>
      <c r="AI10" s="347">
        <f t="shared" si="2"/>
        <v>534000</v>
      </c>
      <c r="AJ10" s="347">
        <f t="shared" si="2"/>
        <v>178623</v>
      </c>
      <c r="AK10" s="347">
        <f t="shared" si="2"/>
        <v>79419.80275472003</v>
      </c>
      <c r="AL10" s="347">
        <f t="shared" si="2"/>
        <v>0.0030900000165274832</v>
      </c>
      <c r="AM10" s="369">
        <f t="shared" si="2"/>
        <v>258042.80584472005</v>
      </c>
      <c r="AN10" s="47">
        <f t="shared" si="2"/>
        <v>2259618.6458447203</v>
      </c>
      <c r="AO10" s="47">
        <f t="shared" si="2"/>
        <v>1012520</v>
      </c>
      <c r="AP10" s="47">
        <f t="shared" si="2"/>
        <v>-1</v>
      </c>
    </row>
    <row r="11" spans="1:42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aca="true" t="shared" si="3" ref="F11:F19">D11-E11</f>
        <v>0</v>
      </c>
      <c r="G11" s="32"/>
      <c r="H11" s="24">
        <v>0</v>
      </c>
      <c r="I11" s="23"/>
      <c r="J11" s="181">
        <f aca="true" t="shared" si="4" ref="J11:J19">H11+I11</f>
        <v>0</v>
      </c>
      <c r="K11" s="45"/>
      <c r="L11" s="32">
        <f aca="true" t="shared" si="5" ref="L11:L19">J11-K11</f>
        <v>0</v>
      </c>
      <c r="M11" s="32"/>
      <c r="N11" s="33">
        <v>0</v>
      </c>
      <c r="O11" s="32"/>
      <c r="P11" s="298">
        <f aca="true" t="shared" si="6" ref="P11:P19">N11+O11</f>
        <v>0</v>
      </c>
      <c r="Q11" s="45"/>
      <c r="R11" s="32"/>
      <c r="S11" s="77">
        <f aca="true" t="shared" si="7" ref="S11:S19">E11+K11+Q11</f>
        <v>0</v>
      </c>
      <c r="T11" s="315">
        <v>0</v>
      </c>
      <c r="U11" s="337"/>
      <c r="V11" s="315">
        <f aca="true" t="shared" si="8" ref="V11:V19">T11-U11</f>
        <v>0</v>
      </c>
      <c r="W11" s="265">
        <v>0</v>
      </c>
      <c r="X11" s="315"/>
      <c r="Y11" s="341"/>
      <c r="Z11" s="83"/>
      <c r="AA11" s="393">
        <f aca="true" t="shared" si="9" ref="AA11:AA19">X11+Z11</f>
        <v>0</v>
      </c>
      <c r="AB11" s="396"/>
      <c r="AC11" s="395">
        <f t="shared" si="0"/>
        <v>0</v>
      </c>
      <c r="AD11" s="364"/>
      <c r="AE11" s="359">
        <f t="shared" si="1"/>
        <v>0</v>
      </c>
      <c r="AF11" s="265"/>
      <c r="AG11" s="265"/>
      <c r="AH11" s="315"/>
      <c r="AI11" s="77">
        <f aca="true" t="shared" si="10" ref="AI11:AI19">AF11+AG11+AH11</f>
        <v>0</v>
      </c>
      <c r="AJ11" s="265"/>
      <c r="AK11" s="265"/>
      <c r="AL11" s="315"/>
      <c r="AM11" s="77">
        <f aca="true" t="shared" si="11" ref="AM11:AM19">AJ11+AK11+AL11</f>
        <v>0</v>
      </c>
      <c r="AN11" s="236">
        <f aca="true" t="shared" si="12" ref="AN11:AN19">S11+AE11+AI11+AM11</f>
        <v>0</v>
      </c>
      <c r="AO11" s="149">
        <f aca="true" t="shared" si="13" ref="AO11:AO19">S11+U11</f>
        <v>0</v>
      </c>
      <c r="AP11" s="87"/>
    </row>
    <row r="12" spans="1:42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3"/>
        <v>12.069999999999936</v>
      </c>
      <c r="G12" s="32"/>
      <c r="H12" s="24">
        <v>1268.31</v>
      </c>
      <c r="I12" s="23"/>
      <c r="J12" s="181">
        <f t="shared" si="4"/>
        <v>1268.31</v>
      </c>
      <c r="K12" s="45">
        <v>1260</v>
      </c>
      <c r="L12" s="32">
        <f t="shared" si="5"/>
        <v>8.309999999999945</v>
      </c>
      <c r="M12" s="32"/>
      <c r="N12" s="33">
        <v>1268.31</v>
      </c>
      <c r="O12" s="32"/>
      <c r="P12" s="298">
        <f t="shared" si="6"/>
        <v>1268.31</v>
      </c>
      <c r="Q12" s="45">
        <v>1260</v>
      </c>
      <c r="R12" s="32">
        <f aca="true" t="shared" si="14" ref="R12:R19">P12-Q12</f>
        <v>8.309999999999945</v>
      </c>
      <c r="S12" s="77">
        <f t="shared" si="7"/>
        <v>3780</v>
      </c>
      <c r="T12" s="315">
        <v>1281.12</v>
      </c>
      <c r="U12" s="337">
        <v>1260</v>
      </c>
      <c r="V12" s="315">
        <f t="shared" si="8"/>
        <v>21.11999999999989</v>
      </c>
      <c r="W12" s="265">
        <v>0</v>
      </c>
      <c r="X12" s="315"/>
      <c r="Y12" s="341">
        <v>8301.85</v>
      </c>
      <c r="Z12" s="83">
        <v>960</v>
      </c>
      <c r="AA12" s="393">
        <f t="shared" si="9"/>
        <v>960</v>
      </c>
      <c r="AB12" s="396">
        <v>960</v>
      </c>
      <c r="AC12" s="395">
        <f t="shared" si="0"/>
        <v>0</v>
      </c>
      <c r="AD12" s="364">
        <v>960</v>
      </c>
      <c r="AE12" s="77">
        <f t="shared" si="1"/>
        <v>3180</v>
      </c>
      <c r="AF12" s="83">
        <v>1200</v>
      </c>
      <c r="AG12" s="83">
        <v>1200</v>
      </c>
      <c r="AH12" s="364">
        <v>1200</v>
      </c>
      <c r="AI12" s="77">
        <f t="shared" si="10"/>
        <v>3600</v>
      </c>
      <c r="AJ12" s="83">
        <v>1200</v>
      </c>
      <c r="AK12" s="83">
        <v>1200</v>
      </c>
      <c r="AL12" s="364">
        <v>381.85488027999963</v>
      </c>
      <c r="AM12" s="77">
        <f t="shared" si="11"/>
        <v>2781.8548802799996</v>
      </c>
      <c r="AN12" s="236">
        <f t="shared" si="12"/>
        <v>13341.85488028</v>
      </c>
      <c r="AO12" s="149">
        <f t="shared" si="13"/>
        <v>5040</v>
      </c>
      <c r="AP12" s="87"/>
    </row>
    <row r="13" spans="1:42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3"/>
        <v>3.3099999999999454</v>
      </c>
      <c r="G13" s="32"/>
      <c r="H13" s="24">
        <v>721.18</v>
      </c>
      <c r="I13" s="23"/>
      <c r="J13" s="181">
        <f t="shared" si="4"/>
        <v>721.18</v>
      </c>
      <c r="K13" s="45">
        <v>720</v>
      </c>
      <c r="L13" s="32">
        <f t="shared" si="5"/>
        <v>1.17999999999995</v>
      </c>
      <c r="M13" s="32"/>
      <c r="N13" s="33">
        <v>721.18</v>
      </c>
      <c r="O13" s="32"/>
      <c r="P13" s="298">
        <f t="shared" si="6"/>
        <v>721.18</v>
      </c>
      <c r="Q13" s="45">
        <v>720</v>
      </c>
      <c r="R13" s="32">
        <f t="shared" si="14"/>
        <v>1.17999999999995</v>
      </c>
      <c r="S13" s="77">
        <f t="shared" si="7"/>
        <v>2160</v>
      </c>
      <c r="T13" s="315">
        <v>728.46</v>
      </c>
      <c r="U13" s="337">
        <v>480</v>
      </c>
      <c r="V13" s="315">
        <f t="shared" si="8"/>
        <v>248.46000000000004</v>
      </c>
      <c r="W13" s="265">
        <v>0</v>
      </c>
      <c r="X13" s="315"/>
      <c r="Y13" s="341">
        <v>4720.54</v>
      </c>
      <c r="Z13" s="83">
        <v>660</v>
      </c>
      <c r="AA13" s="393">
        <f t="shared" si="9"/>
        <v>660</v>
      </c>
      <c r="AB13" s="396">
        <v>660</v>
      </c>
      <c r="AC13" s="395">
        <f t="shared" si="0"/>
        <v>0</v>
      </c>
      <c r="AD13" s="364">
        <v>660</v>
      </c>
      <c r="AE13" s="77">
        <f t="shared" si="1"/>
        <v>1800</v>
      </c>
      <c r="AF13" s="83">
        <v>660</v>
      </c>
      <c r="AG13" s="83">
        <v>660</v>
      </c>
      <c r="AH13" s="364">
        <v>660</v>
      </c>
      <c r="AI13" s="77">
        <f t="shared" si="10"/>
        <v>1980</v>
      </c>
      <c r="AJ13" s="83">
        <v>660</v>
      </c>
      <c r="AK13" s="83">
        <v>660</v>
      </c>
      <c r="AL13" s="364">
        <v>100.53673324000101</v>
      </c>
      <c r="AM13" s="77">
        <f t="shared" si="11"/>
        <v>1420.536733240001</v>
      </c>
      <c r="AN13" s="236">
        <f t="shared" si="12"/>
        <v>7360.536733240001</v>
      </c>
      <c r="AO13" s="149">
        <f t="shared" si="13"/>
        <v>2640</v>
      </c>
      <c r="AP13" s="87"/>
    </row>
    <row r="14" spans="1:42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3"/>
        <v>57.379999999999995</v>
      </c>
      <c r="G14" s="32"/>
      <c r="H14" s="24">
        <v>894.73</v>
      </c>
      <c r="I14" s="23"/>
      <c r="J14" s="181">
        <f t="shared" si="4"/>
        <v>894.73</v>
      </c>
      <c r="K14" s="45">
        <v>840</v>
      </c>
      <c r="L14" s="32">
        <f t="shared" si="5"/>
        <v>54.73000000000002</v>
      </c>
      <c r="M14" s="32"/>
      <c r="N14" s="33">
        <v>894.73</v>
      </c>
      <c r="O14" s="32"/>
      <c r="P14" s="298">
        <f t="shared" si="6"/>
        <v>894.73</v>
      </c>
      <c r="Q14" s="45">
        <v>840</v>
      </c>
      <c r="R14" s="32">
        <f t="shared" si="14"/>
        <v>54.73000000000002</v>
      </c>
      <c r="S14" s="77">
        <f t="shared" si="7"/>
        <v>2520</v>
      </c>
      <c r="T14" s="315">
        <v>903.77</v>
      </c>
      <c r="U14" s="337">
        <v>900</v>
      </c>
      <c r="V14" s="315">
        <f t="shared" si="8"/>
        <v>3.769999999999982</v>
      </c>
      <c r="W14" s="265">
        <v>0</v>
      </c>
      <c r="X14" s="315"/>
      <c r="Y14" s="341">
        <v>5856.55</v>
      </c>
      <c r="Z14" s="83">
        <v>780</v>
      </c>
      <c r="AA14" s="393">
        <f t="shared" si="9"/>
        <v>780</v>
      </c>
      <c r="AB14" s="396">
        <v>780</v>
      </c>
      <c r="AC14" s="395">
        <f t="shared" si="0"/>
        <v>0</v>
      </c>
      <c r="AD14" s="364">
        <v>780</v>
      </c>
      <c r="AE14" s="77">
        <f t="shared" si="1"/>
        <v>2460</v>
      </c>
      <c r="AF14" s="83">
        <v>780</v>
      </c>
      <c r="AG14" s="83">
        <v>780</v>
      </c>
      <c r="AH14" s="364">
        <v>780</v>
      </c>
      <c r="AI14" s="77">
        <f t="shared" si="10"/>
        <v>2340</v>
      </c>
      <c r="AJ14" s="83">
        <v>780</v>
      </c>
      <c r="AK14" s="83">
        <v>780</v>
      </c>
      <c r="AL14" s="364">
        <v>396.54625300000043</v>
      </c>
      <c r="AM14" s="77">
        <f t="shared" si="11"/>
        <v>1956.5462530000004</v>
      </c>
      <c r="AN14" s="236">
        <f t="shared" si="12"/>
        <v>9276.546253</v>
      </c>
      <c r="AO14" s="149">
        <f t="shared" si="13"/>
        <v>3420</v>
      </c>
      <c r="AP14" s="87"/>
    </row>
    <row r="15" spans="1:42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3"/>
        <v>70.20000000000005</v>
      </c>
      <c r="G15" s="32"/>
      <c r="H15" s="24">
        <v>728.04</v>
      </c>
      <c r="I15" s="23"/>
      <c r="J15" s="181">
        <f t="shared" si="4"/>
        <v>728.04</v>
      </c>
      <c r="K15" s="45">
        <v>720</v>
      </c>
      <c r="L15" s="32">
        <f t="shared" si="5"/>
        <v>8.039999999999964</v>
      </c>
      <c r="M15" s="32"/>
      <c r="N15" s="33">
        <v>728.04</v>
      </c>
      <c r="O15" s="32"/>
      <c r="P15" s="298">
        <f t="shared" si="6"/>
        <v>728.04</v>
      </c>
      <c r="Q15" s="45">
        <v>660</v>
      </c>
      <c r="R15" s="32">
        <f t="shared" si="14"/>
        <v>68.03999999999996</v>
      </c>
      <c r="S15" s="77">
        <f t="shared" si="7"/>
        <v>2040</v>
      </c>
      <c r="T15" s="315">
        <v>735.39</v>
      </c>
      <c r="U15" s="337">
        <v>180</v>
      </c>
      <c r="V15" s="315">
        <f t="shared" si="8"/>
        <v>555.39</v>
      </c>
      <c r="W15" s="265">
        <v>0</v>
      </c>
      <c r="X15" s="315"/>
      <c r="Y15" s="341">
        <v>4765.46</v>
      </c>
      <c r="Z15" s="83">
        <v>660</v>
      </c>
      <c r="AA15" s="393">
        <f t="shared" si="9"/>
        <v>660</v>
      </c>
      <c r="AB15" s="396">
        <v>660</v>
      </c>
      <c r="AC15" s="395">
        <f t="shared" si="0"/>
        <v>0</v>
      </c>
      <c r="AD15" s="364">
        <v>660</v>
      </c>
      <c r="AE15" s="77">
        <f t="shared" si="1"/>
        <v>1500</v>
      </c>
      <c r="AF15" s="83">
        <v>660</v>
      </c>
      <c r="AG15" s="83">
        <v>660</v>
      </c>
      <c r="AH15" s="364">
        <v>660</v>
      </c>
      <c r="AI15" s="77">
        <f t="shared" si="10"/>
        <v>1980</v>
      </c>
      <c r="AJ15" s="83">
        <v>660</v>
      </c>
      <c r="AK15" s="83">
        <v>660</v>
      </c>
      <c r="AL15" s="364">
        <v>145.46366339999986</v>
      </c>
      <c r="AM15" s="77">
        <f t="shared" si="11"/>
        <v>1465.4636633999999</v>
      </c>
      <c r="AN15" s="236">
        <f t="shared" si="12"/>
        <v>6985.4636634</v>
      </c>
      <c r="AO15" s="149">
        <f t="shared" si="13"/>
        <v>2220</v>
      </c>
      <c r="AP15" s="87"/>
    </row>
    <row r="16" spans="1:42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3"/>
        <v>0.2699999999999818</v>
      </c>
      <c r="G16" s="32"/>
      <c r="H16" s="24">
        <v>2647.42</v>
      </c>
      <c r="I16" s="24"/>
      <c r="J16" s="181">
        <f t="shared" si="4"/>
        <v>2647.42</v>
      </c>
      <c r="K16" s="74">
        <v>2640</v>
      </c>
      <c r="L16" s="32">
        <f t="shared" si="5"/>
        <v>7.420000000000073</v>
      </c>
      <c r="M16" s="32"/>
      <c r="N16" s="33">
        <v>2647.42</v>
      </c>
      <c r="O16" s="32"/>
      <c r="P16" s="298">
        <f t="shared" si="6"/>
        <v>2647.42</v>
      </c>
      <c r="Q16" s="45">
        <v>2640</v>
      </c>
      <c r="R16" s="32">
        <f t="shared" si="14"/>
        <v>7.420000000000073</v>
      </c>
      <c r="S16" s="77">
        <f t="shared" si="7"/>
        <v>7935</v>
      </c>
      <c r="T16" s="315">
        <v>2674.16</v>
      </c>
      <c r="U16" s="337">
        <v>2670</v>
      </c>
      <c r="V16" s="315">
        <f t="shared" si="8"/>
        <v>4.1599999999998545</v>
      </c>
      <c r="W16" s="265">
        <v>0</v>
      </c>
      <c r="X16" s="315"/>
      <c r="Y16" s="341">
        <v>17328.96</v>
      </c>
      <c r="Z16" s="83">
        <v>2400</v>
      </c>
      <c r="AA16" s="393">
        <f t="shared" si="9"/>
        <v>2400</v>
      </c>
      <c r="AB16" s="396">
        <v>2400</v>
      </c>
      <c r="AC16" s="395">
        <f t="shared" si="0"/>
        <v>0</v>
      </c>
      <c r="AD16" s="364">
        <v>2400</v>
      </c>
      <c r="AE16" s="77">
        <f t="shared" si="1"/>
        <v>7470</v>
      </c>
      <c r="AF16" s="83">
        <v>2400</v>
      </c>
      <c r="AG16" s="83">
        <v>2400</v>
      </c>
      <c r="AH16" s="364">
        <v>2400</v>
      </c>
      <c r="AI16" s="77">
        <f t="shared" si="10"/>
        <v>7200</v>
      </c>
      <c r="AJ16" s="83">
        <v>2400</v>
      </c>
      <c r="AK16" s="83">
        <v>2400</v>
      </c>
      <c r="AL16" s="364">
        <v>528.9587760000031</v>
      </c>
      <c r="AM16" s="77">
        <f t="shared" si="11"/>
        <v>5328.958776000003</v>
      </c>
      <c r="AN16" s="236">
        <f t="shared" si="12"/>
        <v>27933.958776000003</v>
      </c>
      <c r="AO16" s="149">
        <f t="shared" si="13"/>
        <v>10605</v>
      </c>
      <c r="AP16" s="87"/>
    </row>
    <row r="17" spans="1:42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3"/>
        <v>31.070000000000164</v>
      </c>
      <c r="G17" s="32"/>
      <c r="H17" s="24">
        <v>2304.23</v>
      </c>
      <c r="I17" s="23"/>
      <c r="J17" s="181">
        <f t="shared" si="4"/>
        <v>2304.23</v>
      </c>
      <c r="K17" s="45">
        <v>0</v>
      </c>
      <c r="L17" s="32">
        <f t="shared" si="5"/>
        <v>2304.23</v>
      </c>
      <c r="M17" s="32"/>
      <c r="N17" s="33">
        <v>2304.23</v>
      </c>
      <c r="O17" s="32"/>
      <c r="P17" s="298">
        <f t="shared" si="6"/>
        <v>2304.23</v>
      </c>
      <c r="Q17" s="45">
        <v>2280</v>
      </c>
      <c r="R17" s="32">
        <f t="shared" si="14"/>
        <v>24.230000000000018</v>
      </c>
      <c r="S17" s="77">
        <f t="shared" si="7"/>
        <v>4560</v>
      </c>
      <c r="T17" s="315">
        <v>2327.51</v>
      </c>
      <c r="U17" s="337">
        <v>1940</v>
      </c>
      <c r="V17" s="315">
        <f t="shared" si="8"/>
        <v>387.5100000000002</v>
      </c>
      <c r="W17" s="265">
        <v>0</v>
      </c>
      <c r="X17" s="315"/>
      <c r="Y17" s="341">
        <v>15082.61</v>
      </c>
      <c r="Z17" s="83">
        <v>2220</v>
      </c>
      <c r="AA17" s="393">
        <f t="shared" si="9"/>
        <v>2220</v>
      </c>
      <c r="AB17" s="396">
        <v>2160</v>
      </c>
      <c r="AC17" s="395">
        <f t="shared" si="0"/>
        <v>60</v>
      </c>
      <c r="AD17" s="364">
        <v>2220</v>
      </c>
      <c r="AE17" s="77">
        <f t="shared" si="1"/>
        <v>6320</v>
      </c>
      <c r="AF17" s="83">
        <v>2220</v>
      </c>
      <c r="AG17" s="83">
        <v>2220</v>
      </c>
      <c r="AH17" s="364">
        <v>2220</v>
      </c>
      <c r="AI17" s="77">
        <f t="shared" si="10"/>
        <v>6660</v>
      </c>
      <c r="AJ17" s="83">
        <v>2220</v>
      </c>
      <c r="AK17" s="83">
        <v>1762.6122680000008</v>
      </c>
      <c r="AL17" s="364">
        <v>0</v>
      </c>
      <c r="AM17" s="77">
        <f t="shared" si="11"/>
        <v>3982.6122680000008</v>
      </c>
      <c r="AN17" s="236">
        <f t="shared" si="12"/>
        <v>21522.612268</v>
      </c>
      <c r="AO17" s="149">
        <f t="shared" si="13"/>
        <v>6500</v>
      </c>
      <c r="AP17" s="87">
        <f>-AC17</f>
        <v>-60</v>
      </c>
    </row>
    <row r="18" spans="1:42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3"/>
        <v>1005.98</v>
      </c>
      <c r="G18" s="32"/>
      <c r="H18" s="24">
        <v>1421.76</v>
      </c>
      <c r="I18" s="23"/>
      <c r="J18" s="181">
        <f t="shared" si="4"/>
        <v>1421.76</v>
      </c>
      <c r="K18" s="45">
        <v>720</v>
      </c>
      <c r="L18" s="32">
        <f t="shared" si="5"/>
        <v>701.76</v>
      </c>
      <c r="M18" s="32"/>
      <c r="N18" s="33">
        <v>1421.76</v>
      </c>
      <c r="O18" s="32"/>
      <c r="P18" s="298">
        <f t="shared" si="6"/>
        <v>1421.76</v>
      </c>
      <c r="Q18" s="45">
        <v>630</v>
      </c>
      <c r="R18" s="32">
        <f t="shared" si="14"/>
        <v>791.76</v>
      </c>
      <c r="S18" s="77">
        <f t="shared" si="7"/>
        <v>1770</v>
      </c>
      <c r="T18" s="315">
        <v>1436.12</v>
      </c>
      <c r="U18" s="337">
        <v>450</v>
      </c>
      <c r="V18" s="315">
        <f t="shared" si="8"/>
        <v>986.1199999999999</v>
      </c>
      <c r="W18" s="265">
        <v>0</v>
      </c>
      <c r="X18" s="315"/>
      <c r="Y18" s="341">
        <v>9306.29</v>
      </c>
      <c r="Z18" s="83">
        <v>820</v>
      </c>
      <c r="AA18" s="393">
        <f t="shared" si="9"/>
        <v>820</v>
      </c>
      <c r="AB18" s="396">
        <v>540</v>
      </c>
      <c r="AC18" s="395">
        <f t="shared" si="0"/>
        <v>280</v>
      </c>
      <c r="AD18" s="364">
        <v>820</v>
      </c>
      <c r="AE18" s="77">
        <f t="shared" si="1"/>
        <v>1810</v>
      </c>
      <c r="AF18" s="83">
        <v>1300</v>
      </c>
      <c r="AG18" s="83">
        <v>1300</v>
      </c>
      <c r="AH18" s="364">
        <v>1300</v>
      </c>
      <c r="AI18" s="77">
        <f t="shared" si="10"/>
        <v>3900</v>
      </c>
      <c r="AJ18" s="83">
        <v>1500</v>
      </c>
      <c r="AK18" s="83">
        <v>1500</v>
      </c>
      <c r="AL18" s="364">
        <v>766.2926760000009</v>
      </c>
      <c r="AM18" s="77">
        <f t="shared" si="11"/>
        <v>3766.292676000001</v>
      </c>
      <c r="AN18" s="236">
        <f t="shared" si="12"/>
        <v>11246.292676000001</v>
      </c>
      <c r="AO18" s="149">
        <f t="shared" si="13"/>
        <v>2220</v>
      </c>
      <c r="AP18" s="87">
        <f>-AC18</f>
        <v>-280</v>
      </c>
    </row>
    <row r="19" spans="1:42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3"/>
        <v>6.789999999999964</v>
      </c>
      <c r="G19" s="63"/>
      <c r="H19" s="30">
        <v>4717.78</v>
      </c>
      <c r="I19" s="54"/>
      <c r="J19" s="260">
        <f t="shared" si="4"/>
        <v>4717.78</v>
      </c>
      <c r="K19" s="46">
        <v>4710</v>
      </c>
      <c r="L19" s="32">
        <f t="shared" si="5"/>
        <v>7.779999999999745</v>
      </c>
      <c r="M19" s="63"/>
      <c r="N19" s="34">
        <v>4717.78</v>
      </c>
      <c r="O19" s="63"/>
      <c r="P19" s="298">
        <f t="shared" si="6"/>
        <v>4717.78</v>
      </c>
      <c r="Q19" s="46">
        <v>4695</v>
      </c>
      <c r="R19" s="32">
        <f t="shared" si="14"/>
        <v>22.779999999999745</v>
      </c>
      <c r="S19" s="77">
        <f t="shared" si="7"/>
        <v>14130</v>
      </c>
      <c r="T19" s="315">
        <v>4765.45</v>
      </c>
      <c r="U19" s="338">
        <v>4760</v>
      </c>
      <c r="V19" s="315">
        <f t="shared" si="8"/>
        <v>5.449999999999818</v>
      </c>
      <c r="W19" s="265">
        <v>0</v>
      </c>
      <c r="X19" s="380"/>
      <c r="Y19" s="342">
        <v>68994.94</v>
      </c>
      <c r="Z19" s="365">
        <v>9000</v>
      </c>
      <c r="AA19" s="393">
        <f t="shared" si="9"/>
        <v>9000</v>
      </c>
      <c r="AB19" s="396">
        <v>9000</v>
      </c>
      <c r="AC19" s="395">
        <f t="shared" si="0"/>
        <v>0</v>
      </c>
      <c r="AD19" s="364">
        <v>9000</v>
      </c>
      <c r="AE19" s="77">
        <f t="shared" si="1"/>
        <v>22760</v>
      </c>
      <c r="AF19" s="365">
        <v>9000</v>
      </c>
      <c r="AG19" s="366">
        <v>9000</v>
      </c>
      <c r="AH19" s="364">
        <v>9000</v>
      </c>
      <c r="AI19" s="77">
        <f t="shared" si="10"/>
        <v>27000</v>
      </c>
      <c r="AJ19" s="365">
        <v>9000</v>
      </c>
      <c r="AK19" s="366">
        <v>9000</v>
      </c>
      <c r="AL19" s="364">
        <v>5994.92846000001</v>
      </c>
      <c r="AM19" s="77">
        <f t="shared" si="11"/>
        <v>23994.92846000001</v>
      </c>
      <c r="AN19" s="236">
        <f t="shared" si="12"/>
        <v>87884.92846000001</v>
      </c>
      <c r="AO19" s="149">
        <f t="shared" si="13"/>
        <v>18890</v>
      </c>
      <c r="AP19" s="87"/>
    </row>
    <row r="20" spans="1:42" s="10" customFormat="1" ht="23.25" customHeight="1">
      <c r="A20" s="64"/>
      <c r="B20" s="126" t="s">
        <v>12</v>
      </c>
      <c r="C20" s="48">
        <v>185230</v>
      </c>
      <c r="D20" s="48">
        <f aca="true" t="shared" si="15" ref="D20:AP20">SUM(D11:D19)</f>
        <v>14747.07</v>
      </c>
      <c r="E20" s="48">
        <f t="shared" si="15"/>
        <v>13560</v>
      </c>
      <c r="F20" s="48">
        <f t="shared" si="15"/>
        <v>1187.0700000000002</v>
      </c>
      <c r="G20" s="48">
        <f t="shared" si="15"/>
        <v>0</v>
      </c>
      <c r="H20" s="48">
        <f t="shared" si="15"/>
        <v>14703.45</v>
      </c>
      <c r="I20" s="48">
        <f t="shared" si="15"/>
        <v>0</v>
      </c>
      <c r="J20" s="48">
        <f t="shared" si="15"/>
        <v>14703.45</v>
      </c>
      <c r="K20" s="48">
        <f t="shared" si="15"/>
        <v>11610</v>
      </c>
      <c r="L20" s="48">
        <f t="shared" si="15"/>
        <v>3093.45</v>
      </c>
      <c r="M20" s="48">
        <f t="shared" si="15"/>
        <v>0</v>
      </c>
      <c r="N20" s="48">
        <f t="shared" si="15"/>
        <v>14703.45</v>
      </c>
      <c r="O20" s="48">
        <f t="shared" si="15"/>
        <v>0</v>
      </c>
      <c r="P20" s="48">
        <f t="shared" si="15"/>
        <v>14703.45</v>
      </c>
      <c r="Q20" s="48">
        <f t="shared" si="15"/>
        <v>13725</v>
      </c>
      <c r="R20" s="48">
        <f t="shared" si="15"/>
        <v>978.4499999999997</v>
      </c>
      <c r="S20" s="48">
        <f t="shared" si="15"/>
        <v>38895</v>
      </c>
      <c r="T20" s="141">
        <f t="shared" si="15"/>
        <v>14851.98</v>
      </c>
      <c r="U20" s="141">
        <f t="shared" si="15"/>
        <v>12640</v>
      </c>
      <c r="V20" s="141">
        <f t="shared" si="15"/>
        <v>2211.9799999999996</v>
      </c>
      <c r="W20" s="348">
        <f t="shared" si="15"/>
        <v>0</v>
      </c>
      <c r="X20" s="348">
        <f t="shared" si="15"/>
        <v>0</v>
      </c>
      <c r="Y20" s="348">
        <f t="shared" si="15"/>
        <v>134357.2</v>
      </c>
      <c r="Z20" s="348">
        <f t="shared" si="15"/>
        <v>17500</v>
      </c>
      <c r="AA20" s="348">
        <f t="shared" si="15"/>
        <v>17500</v>
      </c>
      <c r="AB20" s="348">
        <f>SUM(AB11:AB19)</f>
        <v>17160</v>
      </c>
      <c r="AC20" s="367">
        <f>SUM(AC11:AC19)</f>
        <v>340</v>
      </c>
      <c r="AD20" s="382">
        <f t="shared" si="15"/>
        <v>17500</v>
      </c>
      <c r="AE20" s="367">
        <f t="shared" si="15"/>
        <v>47300</v>
      </c>
      <c r="AF20" s="348">
        <f t="shared" si="15"/>
        <v>18220</v>
      </c>
      <c r="AG20" s="348">
        <f t="shared" si="15"/>
        <v>18220</v>
      </c>
      <c r="AH20" s="348">
        <f t="shared" si="15"/>
        <v>18220</v>
      </c>
      <c r="AI20" s="348">
        <f t="shared" si="15"/>
        <v>54660</v>
      </c>
      <c r="AJ20" s="348">
        <f t="shared" si="15"/>
        <v>18420</v>
      </c>
      <c r="AK20" s="348">
        <f t="shared" si="15"/>
        <v>17962.612268</v>
      </c>
      <c r="AL20" s="348">
        <f t="shared" si="15"/>
        <v>8314.581441920014</v>
      </c>
      <c r="AM20" s="367">
        <f t="shared" si="15"/>
        <v>44697.193709920015</v>
      </c>
      <c r="AN20" s="319">
        <f t="shared" si="15"/>
        <v>185552.19370992001</v>
      </c>
      <c r="AO20" s="237">
        <f t="shared" si="15"/>
        <v>51535</v>
      </c>
      <c r="AP20" s="48">
        <f t="shared" si="15"/>
        <v>-340</v>
      </c>
    </row>
    <row r="21" spans="1:42" s="10" customFormat="1" ht="20.25" customHeight="1" thickBot="1">
      <c r="A21" s="65"/>
      <c r="B21" s="127" t="s">
        <v>43</v>
      </c>
      <c r="C21" s="49">
        <v>3290376</v>
      </c>
      <c r="D21" s="49">
        <f aca="true" t="shared" si="16" ref="D21:AP21">D10+D20</f>
        <v>200020.08000000002</v>
      </c>
      <c r="E21" s="49">
        <f t="shared" si="16"/>
        <v>257247</v>
      </c>
      <c r="F21" s="151">
        <f t="shared" si="16"/>
        <v>5312.620000000003</v>
      </c>
      <c r="G21" s="49">
        <f t="shared" si="16"/>
        <v>173459</v>
      </c>
      <c r="H21" s="49">
        <f t="shared" si="16"/>
        <v>195979.92</v>
      </c>
      <c r="I21" s="151">
        <f t="shared" si="16"/>
        <v>5312.620000000002</v>
      </c>
      <c r="J21" s="49">
        <f t="shared" si="16"/>
        <v>203238.79</v>
      </c>
      <c r="K21" s="49">
        <f t="shared" si="16"/>
        <v>245921</v>
      </c>
      <c r="L21" s="151">
        <f t="shared" si="16"/>
        <v>3103.814863649889</v>
      </c>
      <c r="M21" s="49">
        <f t="shared" si="16"/>
        <v>170588</v>
      </c>
      <c r="N21" s="49">
        <f t="shared" si="16"/>
        <v>196053.75000000003</v>
      </c>
      <c r="O21" s="151">
        <f t="shared" si="16"/>
        <v>3103.8148636498895</v>
      </c>
      <c r="P21" s="49">
        <f t="shared" si="16"/>
        <v>199186.6248636499</v>
      </c>
      <c r="Q21" s="49">
        <f t="shared" si="16"/>
        <v>367879</v>
      </c>
      <c r="R21" s="151">
        <f t="shared" si="16"/>
        <v>984.321827562543</v>
      </c>
      <c r="S21" s="49">
        <f t="shared" si="16"/>
        <v>374780</v>
      </c>
      <c r="T21" s="142">
        <f t="shared" si="16"/>
        <v>201948.6</v>
      </c>
      <c r="U21" s="142">
        <f t="shared" si="16"/>
        <v>193008</v>
      </c>
      <c r="V21" s="205">
        <f t="shared" si="16"/>
        <v>15540.600000000002</v>
      </c>
      <c r="W21" s="349">
        <f t="shared" si="16"/>
        <v>119625.25</v>
      </c>
      <c r="X21" s="388">
        <f t="shared" si="16"/>
        <v>16524.921827562546</v>
      </c>
      <c r="Y21" s="349">
        <f t="shared" si="16"/>
        <v>1282400</v>
      </c>
      <c r="Z21" s="349">
        <f t="shared" si="16"/>
        <v>193522.34000000003</v>
      </c>
      <c r="AA21" s="349">
        <f t="shared" si="16"/>
        <v>221542.42182756256</v>
      </c>
      <c r="AB21" s="349">
        <f>AB10+AB20</f>
        <v>305711</v>
      </c>
      <c r="AC21" s="151">
        <f>AC10+AC20</f>
        <v>341</v>
      </c>
      <c r="AD21" s="383">
        <f t="shared" si="16"/>
        <v>184004.84</v>
      </c>
      <c r="AE21" s="368">
        <f t="shared" si="16"/>
        <v>682723.84</v>
      </c>
      <c r="AF21" s="349">
        <f t="shared" si="16"/>
        <v>196220</v>
      </c>
      <c r="AG21" s="349">
        <f t="shared" si="16"/>
        <v>196220</v>
      </c>
      <c r="AH21" s="349">
        <f t="shared" si="16"/>
        <v>196220</v>
      </c>
      <c r="AI21" s="349">
        <f t="shared" si="16"/>
        <v>588660</v>
      </c>
      <c r="AJ21" s="349">
        <f t="shared" si="16"/>
        <v>197043</v>
      </c>
      <c r="AK21" s="349">
        <f t="shared" si="16"/>
        <v>97382.41502272003</v>
      </c>
      <c r="AL21" s="349">
        <f t="shared" si="16"/>
        <v>8314.58453192003</v>
      </c>
      <c r="AM21" s="368">
        <f t="shared" si="16"/>
        <v>302739.99955464003</v>
      </c>
      <c r="AN21" s="143">
        <f t="shared" si="16"/>
        <v>2445170.8395546405</v>
      </c>
      <c r="AO21" s="143">
        <f t="shared" si="16"/>
        <v>1064055</v>
      </c>
      <c r="AP21" s="49">
        <f t="shared" si="16"/>
        <v>-341</v>
      </c>
    </row>
    <row r="22" spans="1:90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73" t="s">
        <v>73</v>
      </c>
      <c r="K22" s="274">
        <f>-(L6+L7+L9)</f>
        <v>45786.02486364989</v>
      </c>
      <c r="L22" s="131" t="s">
        <v>34</v>
      </c>
      <c r="M22" s="297">
        <f>L21*100/M21</f>
        <v>1.8194801883191603</v>
      </c>
      <c r="N22" s="257"/>
      <c r="O22" s="257"/>
      <c r="P22" s="257"/>
      <c r="Q22" s="258"/>
      <c r="R22" s="259">
        <f>16871.57+152600+205.12</f>
        <v>169676.69</v>
      </c>
      <c r="S22" s="324" t="s">
        <v>90</v>
      </c>
      <c r="T22" s="323">
        <f>R21</f>
        <v>984.321827562543</v>
      </c>
      <c r="U22" s="273" t="s">
        <v>73</v>
      </c>
      <c r="V22" s="351">
        <f>-(V7)</f>
        <v>6600</v>
      </c>
      <c r="W22" s="356"/>
      <c r="X22" s="356"/>
      <c r="Y22" s="323"/>
      <c r="Z22" s="144"/>
      <c r="AA22" s="273" t="s">
        <v>73</v>
      </c>
      <c r="AB22" s="245">
        <f>-(AC6+AC7+AC9)</f>
        <v>84509.57895299152</v>
      </c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</row>
    <row r="23" spans="2:41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7"/>
      <c r="N23" s="578"/>
      <c r="O23" s="266"/>
      <c r="P23" s="266"/>
      <c r="Q23" s="253">
        <f>N22+R21</f>
        <v>984.321827562543</v>
      </c>
      <c r="R23" s="192" t="s">
        <v>34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229" t="e">
        <f>#REF!+#REF!+#REF!</f>
        <v>#REF!</v>
      </c>
      <c r="AO23" s="80"/>
    </row>
    <row r="24" spans="2:41" s="100" customFormat="1" ht="33" customHeight="1" thickBot="1">
      <c r="B24" s="117"/>
      <c r="C24" s="94"/>
      <c r="D24" s="36"/>
      <c r="E24" s="88"/>
      <c r="F24" s="36"/>
      <c r="G24" s="36"/>
      <c r="H24" s="94"/>
      <c r="I24" s="94"/>
      <c r="J24" s="41"/>
      <c r="K24" s="579"/>
      <c r="L24" s="580"/>
      <c r="M24" s="296"/>
      <c r="N24" s="94"/>
      <c r="O24" s="94"/>
      <c r="P24" s="94"/>
      <c r="Q24" s="94"/>
      <c r="R24" s="94"/>
      <c r="S24" s="89"/>
      <c r="T24" s="581" t="s">
        <v>107</v>
      </c>
      <c r="U24" s="582"/>
      <c r="V24" s="190">
        <f>R21+V21</f>
        <v>16524.921827562546</v>
      </c>
      <c r="W24" s="374" t="s">
        <v>124</v>
      </c>
      <c r="X24" s="387">
        <f>V24*100/W21</f>
        <v>13.813907872763105</v>
      </c>
      <c r="Y24" s="89"/>
      <c r="Z24" s="89"/>
      <c r="AA24" s="89"/>
      <c r="AB24" s="89"/>
      <c r="AC24" s="404" t="s">
        <v>131</v>
      </c>
      <c r="AD24" s="405">
        <v>341</v>
      </c>
      <c r="AE24" s="89"/>
      <c r="AF24" s="89"/>
      <c r="AG24" s="89"/>
      <c r="AH24" s="89"/>
      <c r="AI24" s="89"/>
      <c r="AJ24" s="89"/>
      <c r="AK24" s="89"/>
      <c r="AL24" s="89"/>
      <c r="AM24" s="89"/>
      <c r="AN24" s="88"/>
      <c r="AO24" s="36"/>
    </row>
    <row r="25" spans="2:41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94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8"/>
      <c r="AO25" s="36"/>
    </row>
    <row r="26" spans="2:41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8"/>
      <c r="AO26" s="36"/>
    </row>
    <row r="27" spans="2:41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9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20"/>
      <c r="AO27" s="121"/>
    </row>
    <row r="28" spans="2:41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8"/>
    </row>
    <row r="29" spans="2:41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53"/>
      <c r="AO29" s="108"/>
    </row>
    <row r="30" spans="2:41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94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103"/>
      <c r="AO30" s="108"/>
    </row>
    <row r="31" spans="2:41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8"/>
      <c r="AO31" s="36"/>
    </row>
    <row r="32" spans="2:41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8"/>
      <c r="AO32" s="36"/>
    </row>
    <row r="33" spans="2:41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8"/>
      <c r="AO33" s="36"/>
    </row>
    <row r="34" spans="2:41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8"/>
      <c r="AO34" s="36"/>
    </row>
    <row r="35" spans="2:41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8"/>
      <c r="AO35" s="36"/>
    </row>
    <row r="36" spans="2:41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8"/>
      <c r="AO36" s="36"/>
    </row>
    <row r="37" spans="2:41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8"/>
      <c r="AO37" s="36"/>
    </row>
    <row r="38" spans="2:41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8"/>
      <c r="AO38" s="36"/>
    </row>
    <row r="39" spans="2:41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8"/>
      <c r="AO39" s="36"/>
    </row>
    <row r="40" spans="2:41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8"/>
      <c r="AO40" s="36"/>
    </row>
    <row r="41" spans="2:41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8"/>
      <c r="AO41" s="36"/>
    </row>
    <row r="42" spans="2:41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8"/>
      <c r="AO42" s="36"/>
    </row>
    <row r="43" spans="2:41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8"/>
      <c r="AO43" s="36"/>
    </row>
    <row r="44" spans="2:41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8"/>
      <c r="AO44" s="36"/>
    </row>
    <row r="45" spans="2:41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8"/>
      <c r="AO45" s="36"/>
    </row>
    <row r="46" spans="2:41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8"/>
      <c r="AO46" s="36"/>
    </row>
    <row r="47" spans="2:41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8"/>
      <c r="AO47" s="36"/>
    </row>
    <row r="48" spans="2:41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8"/>
      <c r="AO48" s="36"/>
    </row>
    <row r="49" spans="2:41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8"/>
      <c r="AO49" s="36"/>
    </row>
    <row r="50" spans="2:41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8"/>
      <c r="AO50" s="36"/>
    </row>
    <row r="51" spans="2:41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8"/>
      <c r="AO51" s="36"/>
    </row>
    <row r="52" spans="2:41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8"/>
      <c r="AO52" s="36"/>
    </row>
    <row r="53" spans="2:41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8"/>
      <c r="AO53" s="36"/>
    </row>
    <row r="54" spans="2:41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8"/>
      <c r="AO54" s="36"/>
    </row>
    <row r="55" spans="2:41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8"/>
      <c r="AO55" s="36"/>
    </row>
    <row r="56" spans="2:41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8"/>
      <c r="AO56" s="36"/>
    </row>
    <row r="57" spans="2:41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8"/>
      <c r="AO57" s="36"/>
    </row>
    <row r="58" spans="2:41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8"/>
      <c r="AO58" s="36"/>
    </row>
    <row r="59" spans="2:41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8"/>
      <c r="AO59" s="36"/>
    </row>
    <row r="60" spans="2:41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8"/>
      <c r="AO60" s="36"/>
    </row>
    <row r="61" spans="2:41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8"/>
      <c r="AO61" s="36"/>
    </row>
    <row r="62" spans="2:41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8"/>
      <c r="AO62" s="36"/>
    </row>
    <row r="63" spans="2:41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8"/>
      <c r="AO63" s="36"/>
    </row>
    <row r="64" spans="2:41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8"/>
      <c r="AO64" s="36"/>
    </row>
    <row r="65" spans="2:41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8"/>
      <c r="AO65" s="36"/>
    </row>
    <row r="66" spans="2:41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8"/>
      <c r="AO66" s="36"/>
    </row>
    <row r="67" spans="2:41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8"/>
      <c r="AO67" s="36"/>
    </row>
    <row r="68" spans="2:41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8"/>
      <c r="AO68" s="36"/>
    </row>
    <row r="69" spans="2:41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8"/>
      <c r="AO69" s="36"/>
    </row>
  </sheetData>
  <sheetProtection/>
  <mergeCells count="3">
    <mergeCell ref="L23:N23"/>
    <mergeCell ref="K24:L24"/>
    <mergeCell ref="T24:U24"/>
  </mergeCells>
  <printOptions/>
  <pageMargins left="0.16" right="0.16" top="0.27" bottom="0.21" header="0.17" footer="0.17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I30"/>
  <sheetViews>
    <sheetView workbookViewId="0" topLeftCell="A3">
      <pane xSplit="7050" ySplit="1680" topLeftCell="A5" activePane="topRight" state="split"/>
      <selection pane="topLeft" activeCell="AA4" sqref="AA1:AA16384"/>
      <selection pane="topRight" activeCell="U4" sqref="U4"/>
      <selection pane="bottomLeft" activeCell="C1" sqref="C1"/>
      <selection pane="bottomRight" activeCell="U5" sqref="U5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2.125" style="26" bestFit="1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2.50390625" style="1" customWidth="1"/>
    <col min="18" max="18" width="10.375" style="28" hidden="1" customWidth="1"/>
    <col min="19" max="19" width="10.00390625" style="28" customWidth="1"/>
    <col min="20" max="20" width="8.125" style="28" customWidth="1"/>
    <col min="21" max="22" width="9.125" style="28" customWidth="1"/>
    <col min="23" max="23" width="10.375" style="28" customWidth="1"/>
    <col min="24" max="24" width="9.125" style="28" hidden="1" customWidth="1"/>
    <col min="25" max="25" width="11.375" style="28" customWidth="1"/>
    <col min="26" max="27" width="9.125" style="28" customWidth="1"/>
    <col min="28" max="28" width="9.125" style="28" bestFit="1" customWidth="1"/>
    <col min="29" max="29" width="10.75390625" style="28" customWidth="1"/>
    <col min="30" max="30" width="9.125" style="28" bestFit="1" customWidth="1"/>
    <col min="31" max="35" width="9.125" style="28" hidden="1" customWidth="1"/>
    <col min="36" max="36" width="7.75390625" style="28" hidden="1" customWidth="1"/>
    <col min="37" max="37" width="9.125" style="28" hidden="1" customWidth="1"/>
    <col min="38" max="38" width="10.375" style="105" customWidth="1"/>
    <col min="39" max="39" width="10.375" style="1" bestFit="1" customWidth="1"/>
    <col min="40" max="40" width="9.25390625" style="1" bestFit="1" customWidth="1"/>
    <col min="41" max="16384" width="9.00390625" style="1" customWidth="1"/>
  </cols>
  <sheetData>
    <row r="1" spans="1:39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105"/>
      <c r="AM1" s="139" t="s">
        <v>35</v>
      </c>
    </row>
    <row r="2" ht="10.5" customHeight="1">
      <c r="A2" s="8"/>
    </row>
    <row r="3" spans="1:38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156"/>
    </row>
    <row r="4" spans="1:40" s="9" customFormat="1" ht="45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57" t="s">
        <v>87</v>
      </c>
      <c r="AD4" s="358" t="s">
        <v>99</v>
      </c>
      <c r="AE4" s="358" t="s">
        <v>98</v>
      </c>
      <c r="AF4" s="358" t="s">
        <v>100</v>
      </c>
      <c r="AG4" s="357" t="s">
        <v>101</v>
      </c>
      <c r="AH4" s="358" t="s">
        <v>102</v>
      </c>
      <c r="AI4" s="358" t="s">
        <v>103</v>
      </c>
      <c r="AJ4" s="358" t="s">
        <v>104</v>
      </c>
      <c r="AK4" s="357" t="s">
        <v>105</v>
      </c>
      <c r="AL4" s="225" t="s">
        <v>59</v>
      </c>
      <c r="AM4" s="219" t="s">
        <v>55</v>
      </c>
      <c r="AN4" s="96" t="s">
        <v>130</v>
      </c>
    </row>
    <row r="5" spans="1:40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>Y5-Z5</f>
        <v>-433.5425341379887</v>
      </c>
      <c r="AB5" s="345">
        <f>48000-4909.13</f>
        <v>43090.87</v>
      </c>
      <c r="AC5" s="359">
        <f>S5+Z5+AB5</f>
        <v>145644.96</v>
      </c>
      <c r="AD5" s="345">
        <v>48000</v>
      </c>
      <c r="AE5" s="345">
        <v>48000</v>
      </c>
      <c r="AF5" s="345">
        <v>48000</v>
      </c>
      <c r="AG5" s="359">
        <f aca="true" t="shared" si="5" ref="AG5:AG11">AD5+AE5+AF5</f>
        <v>144000</v>
      </c>
      <c r="AH5" s="345">
        <v>48000</v>
      </c>
      <c r="AI5" s="345">
        <v>31516.14</v>
      </c>
      <c r="AJ5" s="345">
        <v>0</v>
      </c>
      <c r="AK5" s="359">
        <f aca="true" t="shared" si="6" ref="AK5:AK11">AH5+AI5+AJ5</f>
        <v>79516.14</v>
      </c>
      <c r="AL5" s="133">
        <f aca="true" t="shared" si="7" ref="AL5:AL11">Q5+AC5+AG5+AK5</f>
        <v>516570.72</v>
      </c>
      <c r="AM5" s="90">
        <f aca="true" t="shared" si="8" ref="AM5:AM11">Q5+S5</f>
        <v>201061.72</v>
      </c>
      <c r="AN5" s="264"/>
    </row>
    <row r="6" spans="1:40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>Y6-Z6</f>
        <v>-217.5500000000029</v>
      </c>
      <c r="AB6" s="345">
        <f>35000-227.67</f>
        <v>34772.33</v>
      </c>
      <c r="AC6" s="359">
        <f>S6+Z6+AB6</f>
        <v>105971.26</v>
      </c>
      <c r="AD6" s="345">
        <v>35000</v>
      </c>
      <c r="AE6" s="345">
        <v>35000</v>
      </c>
      <c r="AF6" s="345">
        <v>35000</v>
      </c>
      <c r="AG6" s="359">
        <f t="shared" si="5"/>
        <v>105000</v>
      </c>
      <c r="AH6" s="345">
        <v>35000</v>
      </c>
      <c r="AI6" s="345">
        <v>23683.13</v>
      </c>
      <c r="AJ6" s="345">
        <v>0</v>
      </c>
      <c r="AK6" s="359">
        <f t="shared" si="6"/>
        <v>58683.130000000005</v>
      </c>
      <c r="AL6" s="133">
        <f t="shared" si="7"/>
        <v>376440.71</v>
      </c>
      <c r="AM6" s="90">
        <f t="shared" si="8"/>
        <v>142540.03</v>
      </c>
      <c r="AN6" s="265"/>
    </row>
    <row r="7" spans="1:40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aca="true" t="shared" si="9" ref="AA7:AA13">Y7-Z7</f>
        <v>-2804.44464150352</v>
      </c>
      <c r="AB7" s="345">
        <f>26000-2305.07</f>
        <v>23694.93</v>
      </c>
      <c r="AC7" s="359">
        <f aca="true" t="shared" si="10" ref="AC7:AC13">S7+Z7+AB7</f>
        <v>81495.78</v>
      </c>
      <c r="AD7" s="345">
        <v>26000</v>
      </c>
      <c r="AE7" s="345">
        <v>26000</v>
      </c>
      <c r="AF7" s="345">
        <v>26000</v>
      </c>
      <c r="AG7" s="359">
        <f t="shared" si="5"/>
        <v>78000</v>
      </c>
      <c r="AH7" s="345">
        <v>26000</v>
      </c>
      <c r="AI7" s="345">
        <v>18759.34</v>
      </c>
      <c r="AJ7" s="345">
        <v>0</v>
      </c>
      <c r="AK7" s="359">
        <f t="shared" si="6"/>
        <v>44759.34</v>
      </c>
      <c r="AL7" s="133">
        <f t="shared" si="7"/>
        <v>293204.67000000004</v>
      </c>
      <c r="AM7" s="90">
        <f t="shared" si="8"/>
        <v>118281.38</v>
      </c>
      <c r="AN7" s="265"/>
    </row>
    <row r="8" spans="1:40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9"/>
        <v>-49752.77045819879</v>
      </c>
      <c r="AB8" s="345">
        <v>28000</v>
      </c>
      <c r="AC8" s="359">
        <f t="shared" si="10"/>
        <v>145252.21</v>
      </c>
      <c r="AD8" s="345">
        <v>28000</v>
      </c>
      <c r="AE8" s="345">
        <v>28000</v>
      </c>
      <c r="AF8" s="345">
        <v>28000</v>
      </c>
      <c r="AG8" s="359">
        <f t="shared" si="5"/>
        <v>84000</v>
      </c>
      <c r="AH8" s="345">
        <v>28000</v>
      </c>
      <c r="AI8" s="345">
        <v>17025.58</v>
      </c>
      <c r="AJ8" s="345">
        <v>0</v>
      </c>
      <c r="AK8" s="359">
        <f t="shared" si="6"/>
        <v>45025.58</v>
      </c>
      <c r="AL8" s="133">
        <f t="shared" si="7"/>
        <v>481424.49000000005</v>
      </c>
      <c r="AM8" s="90">
        <f t="shared" si="8"/>
        <v>246439.13</v>
      </c>
      <c r="AN8" s="265"/>
    </row>
    <row r="9" spans="1:40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9"/>
        <v>-26775.90566895158</v>
      </c>
      <c r="AB9" s="345">
        <f>68000-1287.76</f>
        <v>66712.24</v>
      </c>
      <c r="AC9" s="359">
        <f t="shared" si="10"/>
        <v>232924.01</v>
      </c>
      <c r="AD9" s="345">
        <v>68000</v>
      </c>
      <c r="AE9" s="345">
        <v>68000</v>
      </c>
      <c r="AF9" s="345">
        <v>68000</v>
      </c>
      <c r="AG9" s="359">
        <f t="shared" si="5"/>
        <v>204000</v>
      </c>
      <c r="AH9" s="345">
        <v>68000</v>
      </c>
      <c r="AI9" s="345">
        <v>12667.05</v>
      </c>
      <c r="AJ9" s="345">
        <v>0</v>
      </c>
      <c r="AK9" s="359">
        <f t="shared" si="6"/>
        <v>80667.05</v>
      </c>
      <c r="AL9" s="133">
        <f t="shared" si="7"/>
        <v>769253.06</v>
      </c>
      <c r="AM9" s="90">
        <f t="shared" si="8"/>
        <v>331251.73</v>
      </c>
      <c r="AN9" s="265"/>
    </row>
    <row r="10" spans="1:40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9"/>
        <v>-242.84820781231247</v>
      </c>
      <c r="AB10" s="345">
        <v>25000</v>
      </c>
      <c r="AC10" s="359">
        <f t="shared" si="10"/>
        <v>76946.54000000001</v>
      </c>
      <c r="AD10" s="345">
        <v>25000</v>
      </c>
      <c r="AE10" s="345">
        <v>25000</v>
      </c>
      <c r="AF10" s="345">
        <v>25000</v>
      </c>
      <c r="AG10" s="359">
        <f t="shared" si="5"/>
        <v>75000</v>
      </c>
      <c r="AH10" s="345">
        <v>20000</v>
      </c>
      <c r="AI10" s="345">
        <v>10828.19</v>
      </c>
      <c r="AJ10" s="345">
        <v>0</v>
      </c>
      <c r="AK10" s="359">
        <f t="shared" si="6"/>
        <v>30828.190000000002</v>
      </c>
      <c r="AL10" s="133">
        <f t="shared" si="7"/>
        <v>263531.59</v>
      </c>
      <c r="AM10" s="90">
        <f t="shared" si="8"/>
        <v>107408.79000000001</v>
      </c>
      <c r="AN10" s="265"/>
    </row>
    <row r="11" spans="1:40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9"/>
        <v>-198.35848939578864</v>
      </c>
      <c r="AB11" s="345">
        <f>57000-12580.53</f>
        <v>44419.47</v>
      </c>
      <c r="AC11" s="359">
        <f t="shared" si="10"/>
        <v>171702.2</v>
      </c>
      <c r="AD11" s="345">
        <v>58780</v>
      </c>
      <c r="AE11" s="345">
        <v>58780</v>
      </c>
      <c r="AF11" s="345">
        <v>58780</v>
      </c>
      <c r="AG11" s="359">
        <f t="shared" si="5"/>
        <v>176340</v>
      </c>
      <c r="AH11" s="345">
        <v>55000</v>
      </c>
      <c r="AI11" s="345">
        <v>11780.57</v>
      </c>
      <c r="AJ11" s="345">
        <v>0</v>
      </c>
      <c r="AK11" s="359">
        <f t="shared" si="6"/>
        <v>66780.57</v>
      </c>
      <c r="AL11" s="133">
        <f t="shared" si="7"/>
        <v>583647.6799999999</v>
      </c>
      <c r="AM11" s="90">
        <f t="shared" si="8"/>
        <v>231256.86</v>
      </c>
      <c r="AN11" s="265"/>
    </row>
    <row r="12" spans="1:40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1" ref="G12:M12">SUM(G5:G11)</f>
        <v>205261.1030769231</v>
      </c>
      <c r="H12" s="44">
        <f t="shared" si="11"/>
        <v>272549.07</v>
      </c>
      <c r="I12" s="44">
        <f t="shared" si="11"/>
        <v>5477.89</v>
      </c>
      <c r="J12" s="44">
        <f t="shared" si="11"/>
        <v>289870.7</v>
      </c>
      <c r="K12" s="44">
        <f t="shared" si="11"/>
        <v>341957.91000000003</v>
      </c>
      <c r="L12" s="44">
        <f t="shared" si="11"/>
        <v>-52087.210000000014</v>
      </c>
      <c r="M12" s="44">
        <f t="shared" si="11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12" ref="U12:AN12">SUM(U5:U11)</f>
        <v>268091.919375</v>
      </c>
      <c r="V12" s="44">
        <f t="shared" si="12"/>
        <v>1063.9400000000023</v>
      </c>
      <c r="W12" s="44">
        <f t="shared" si="12"/>
        <v>1846600</v>
      </c>
      <c r="X12" s="346">
        <f t="shared" si="12"/>
        <v>264743.92</v>
      </c>
      <c r="Y12" s="346">
        <f t="shared" si="12"/>
        <v>287118.02</v>
      </c>
      <c r="Z12" s="346">
        <f t="shared" si="12"/>
        <v>367543.43999999994</v>
      </c>
      <c r="AA12" s="346">
        <f t="shared" si="12"/>
        <v>-80425.41999999998</v>
      </c>
      <c r="AB12" s="346">
        <f t="shared" si="12"/>
        <v>265689.83999999997</v>
      </c>
      <c r="AC12" s="346">
        <f t="shared" si="12"/>
        <v>959936.96</v>
      </c>
      <c r="AD12" s="44">
        <f t="shared" si="12"/>
        <v>288780</v>
      </c>
      <c r="AE12" s="44">
        <f t="shared" si="12"/>
        <v>288780</v>
      </c>
      <c r="AF12" s="44">
        <f t="shared" si="12"/>
        <v>288780</v>
      </c>
      <c r="AG12" s="44">
        <f t="shared" si="12"/>
        <v>866340</v>
      </c>
      <c r="AH12" s="44">
        <f t="shared" si="12"/>
        <v>280000</v>
      </c>
      <c r="AI12" s="44">
        <f t="shared" si="12"/>
        <v>126260</v>
      </c>
      <c r="AJ12" s="44">
        <f t="shared" si="12"/>
        <v>0</v>
      </c>
      <c r="AK12" s="44">
        <f t="shared" si="12"/>
        <v>406260</v>
      </c>
      <c r="AL12" s="44">
        <f t="shared" si="12"/>
        <v>3284072.92</v>
      </c>
      <c r="AM12" s="44">
        <f t="shared" si="12"/>
        <v>1378239.6400000001</v>
      </c>
      <c r="AN12" s="228">
        <f t="shared" si="12"/>
        <v>0</v>
      </c>
    </row>
    <row r="13" spans="1:40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 t="shared" si="9"/>
        <v>-9840</v>
      </c>
      <c r="AB13" s="345">
        <v>10000</v>
      </c>
      <c r="AC13" s="359">
        <f t="shared" si="10"/>
        <v>39760</v>
      </c>
      <c r="AD13" s="345">
        <v>10000</v>
      </c>
      <c r="AE13" s="345">
        <v>10000</v>
      </c>
      <c r="AF13" s="345">
        <v>10000</v>
      </c>
      <c r="AG13" s="359">
        <f>AD13+AE13+AF13</f>
        <v>30000</v>
      </c>
      <c r="AH13" s="345">
        <v>10000</v>
      </c>
      <c r="AI13" s="345">
        <v>10000</v>
      </c>
      <c r="AJ13" s="345">
        <v>7000</v>
      </c>
      <c r="AK13" s="359">
        <f>AH13+AI13+AJ13</f>
        <v>27000</v>
      </c>
      <c r="AL13" s="133">
        <f>Q13+AC13+AG13+AK13</f>
        <v>140690</v>
      </c>
      <c r="AM13" s="90">
        <f>Q13+S13</f>
        <v>53850</v>
      </c>
      <c r="AN13" s="265"/>
    </row>
    <row r="14" spans="1:40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13" ref="G14:M14">SUM(G13:G13)</f>
        <v>0</v>
      </c>
      <c r="H14" s="50">
        <f t="shared" si="13"/>
        <v>10000</v>
      </c>
      <c r="I14" s="50">
        <f t="shared" si="13"/>
        <v>0</v>
      </c>
      <c r="J14" s="50">
        <f t="shared" si="13"/>
        <v>10000</v>
      </c>
      <c r="K14" s="50">
        <f t="shared" si="13"/>
        <v>15600</v>
      </c>
      <c r="L14" s="50">
        <f t="shared" si="13"/>
        <v>-5600</v>
      </c>
      <c r="M14" s="50">
        <f t="shared" si="13"/>
        <v>10000</v>
      </c>
      <c r="N14" s="50"/>
      <c r="O14" s="50">
        <f>SUM(O13:O13)</f>
        <v>15960</v>
      </c>
      <c r="P14" s="50">
        <v>0</v>
      </c>
      <c r="Q14" s="187">
        <f aca="true" t="shared" si="14" ref="Q14:AN14">SUM(Q13:Q13)</f>
        <v>43930</v>
      </c>
      <c r="R14" s="187">
        <f t="shared" si="14"/>
        <v>10000</v>
      </c>
      <c r="S14" s="187">
        <f t="shared" si="14"/>
        <v>9920</v>
      </c>
      <c r="T14" s="187">
        <f t="shared" si="14"/>
        <v>80</v>
      </c>
      <c r="U14" s="50">
        <f t="shared" si="14"/>
        <v>0</v>
      </c>
      <c r="V14" s="50">
        <f t="shared" si="14"/>
        <v>0</v>
      </c>
      <c r="W14" s="50">
        <f t="shared" si="14"/>
        <v>77000</v>
      </c>
      <c r="X14" s="50">
        <f t="shared" si="14"/>
        <v>10000</v>
      </c>
      <c r="Y14" s="50">
        <f t="shared" si="14"/>
        <v>10000</v>
      </c>
      <c r="Z14" s="50">
        <f t="shared" si="14"/>
        <v>19840</v>
      </c>
      <c r="AA14" s="50">
        <f t="shared" si="14"/>
        <v>-9840</v>
      </c>
      <c r="AB14" s="50">
        <f t="shared" si="14"/>
        <v>10000</v>
      </c>
      <c r="AC14" s="50">
        <f t="shared" si="14"/>
        <v>39760</v>
      </c>
      <c r="AD14" s="50">
        <f t="shared" si="14"/>
        <v>10000</v>
      </c>
      <c r="AE14" s="50">
        <f t="shared" si="14"/>
        <v>10000</v>
      </c>
      <c r="AF14" s="50">
        <f t="shared" si="14"/>
        <v>10000</v>
      </c>
      <c r="AG14" s="50">
        <f t="shared" si="14"/>
        <v>30000</v>
      </c>
      <c r="AH14" s="50">
        <f t="shared" si="14"/>
        <v>10000</v>
      </c>
      <c r="AI14" s="50">
        <f t="shared" si="14"/>
        <v>10000</v>
      </c>
      <c r="AJ14" s="50">
        <f t="shared" si="14"/>
        <v>7000</v>
      </c>
      <c r="AK14" s="50">
        <f t="shared" si="14"/>
        <v>27000</v>
      </c>
      <c r="AL14" s="50">
        <f t="shared" si="14"/>
        <v>140690</v>
      </c>
      <c r="AM14" s="50">
        <f t="shared" si="14"/>
        <v>53850</v>
      </c>
      <c r="AN14" s="50">
        <f t="shared" si="14"/>
        <v>0</v>
      </c>
    </row>
    <row r="15" spans="1:40" s="168" customFormat="1" ht="28.5" customHeight="1" thickBot="1">
      <c r="A15" s="166"/>
      <c r="B15" s="167" t="s">
        <v>4</v>
      </c>
      <c r="C15" s="106">
        <v>3643654.47</v>
      </c>
      <c r="D15" s="43">
        <f aca="true" t="shared" si="15" ref="D15:M15">D12+D14</f>
        <v>311450.93</v>
      </c>
      <c r="E15" s="43">
        <f t="shared" si="15"/>
        <v>346131.38999999996</v>
      </c>
      <c r="F15" s="35">
        <f t="shared" si="15"/>
        <v>5477.889999999999</v>
      </c>
      <c r="G15" s="43">
        <f t="shared" si="15"/>
        <v>205261.1030769231</v>
      </c>
      <c r="H15" s="43">
        <f t="shared" si="15"/>
        <v>282549.07</v>
      </c>
      <c r="I15" s="35">
        <f t="shared" si="15"/>
        <v>5477.89</v>
      </c>
      <c r="J15" s="43">
        <f t="shared" si="15"/>
        <v>299870.7</v>
      </c>
      <c r="K15" s="43">
        <f t="shared" si="15"/>
        <v>357557.91000000003</v>
      </c>
      <c r="L15" s="267">
        <f t="shared" si="15"/>
        <v>-57687.210000000014</v>
      </c>
      <c r="M15" s="43">
        <f t="shared" si="15"/>
        <v>288556.69</v>
      </c>
      <c r="N15" s="43"/>
      <c r="O15" s="43">
        <f aca="true" t="shared" si="16" ref="O15:AN15">O12+O14</f>
        <v>391776.66000000003</v>
      </c>
      <c r="P15" s="140">
        <f t="shared" si="16"/>
        <v>1.7300000000032014</v>
      </c>
      <c r="Q15" s="106">
        <f t="shared" si="16"/>
        <v>1095465.96</v>
      </c>
      <c r="R15" s="106">
        <f t="shared" si="16"/>
        <v>318855.64999999997</v>
      </c>
      <c r="S15" s="106">
        <f t="shared" si="16"/>
        <v>336623.68</v>
      </c>
      <c r="T15" s="140">
        <f t="shared" si="16"/>
        <v>1062.2099999999991</v>
      </c>
      <c r="U15" s="43">
        <f t="shared" si="16"/>
        <v>268091.919375</v>
      </c>
      <c r="V15" s="376">
        <f t="shared" si="16"/>
        <v>1063.9400000000023</v>
      </c>
      <c r="W15" s="43">
        <f t="shared" si="16"/>
        <v>1923600</v>
      </c>
      <c r="X15" s="43">
        <f t="shared" si="16"/>
        <v>274743.92</v>
      </c>
      <c r="Y15" s="43">
        <f t="shared" si="16"/>
        <v>297118.02</v>
      </c>
      <c r="Z15" s="43">
        <f t="shared" si="16"/>
        <v>387383.43999999994</v>
      </c>
      <c r="AA15" s="267">
        <f t="shared" si="16"/>
        <v>-90265.41999999998</v>
      </c>
      <c r="AB15" s="43">
        <f t="shared" si="16"/>
        <v>275689.83999999997</v>
      </c>
      <c r="AC15" s="43">
        <f t="shared" si="16"/>
        <v>999696.96</v>
      </c>
      <c r="AD15" s="43">
        <f t="shared" si="16"/>
        <v>298780</v>
      </c>
      <c r="AE15" s="43">
        <f t="shared" si="16"/>
        <v>298780</v>
      </c>
      <c r="AF15" s="43">
        <f t="shared" si="16"/>
        <v>298780</v>
      </c>
      <c r="AG15" s="43">
        <f t="shared" si="16"/>
        <v>896340</v>
      </c>
      <c r="AH15" s="43">
        <f t="shared" si="16"/>
        <v>290000</v>
      </c>
      <c r="AI15" s="43">
        <f t="shared" si="16"/>
        <v>136260</v>
      </c>
      <c r="AJ15" s="43">
        <f t="shared" si="16"/>
        <v>7000</v>
      </c>
      <c r="AK15" s="43">
        <f t="shared" si="16"/>
        <v>433260</v>
      </c>
      <c r="AL15" s="43">
        <f t="shared" si="16"/>
        <v>3424762.92</v>
      </c>
      <c r="AM15" s="43">
        <f t="shared" si="16"/>
        <v>1432089.6400000001</v>
      </c>
      <c r="AN15" s="228">
        <f t="shared" si="16"/>
        <v>0</v>
      </c>
    </row>
    <row r="16" spans="1:39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S17*100/U15</f>
        <v>0.3968564224092822</v>
      </c>
      <c r="W16" s="144"/>
      <c r="X16" s="144"/>
      <c r="Y16" s="144"/>
      <c r="Z16" s="402" t="s">
        <v>64</v>
      </c>
      <c r="AA16" s="403">
        <f>-(AA15)</f>
        <v>90265.41999999998</v>
      </c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272"/>
      <c r="AM16" s="230"/>
    </row>
    <row r="17" spans="1:87" s="42" customFormat="1" ht="18.7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Q17" s="581" t="s">
        <v>106</v>
      </c>
      <c r="R17" s="582"/>
      <c r="S17" s="353">
        <f>P15+T15</f>
        <v>1063.9400000000023</v>
      </c>
      <c r="AL17" s="226"/>
      <c r="AM17" s="226"/>
      <c r="AN17" s="226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</row>
    <row r="18" spans="2:40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84</v>
      </c>
      <c r="N18" s="300" t="s">
        <v>77</v>
      </c>
      <c r="O18" s="299" t="s">
        <v>32</v>
      </c>
      <c r="P18" s="72" t="s">
        <v>49</v>
      </c>
      <c r="Q18" s="185" t="s">
        <v>58</v>
      </c>
      <c r="R18" s="311" t="s">
        <v>86</v>
      </c>
      <c r="S18" s="37" t="s">
        <v>95</v>
      </c>
      <c r="T18" s="72" t="s">
        <v>96</v>
      </c>
      <c r="U18" s="372"/>
      <c r="V18" s="390" t="s">
        <v>122</v>
      </c>
      <c r="W18" s="334" t="s">
        <v>97</v>
      </c>
      <c r="X18" s="311" t="s">
        <v>88</v>
      </c>
      <c r="Y18" s="377" t="s">
        <v>123</v>
      </c>
      <c r="Z18" s="37" t="s">
        <v>127</v>
      </c>
      <c r="AA18" s="72" t="s">
        <v>128</v>
      </c>
      <c r="AB18" s="311" t="s">
        <v>89</v>
      </c>
      <c r="AC18" s="185" t="s">
        <v>87</v>
      </c>
      <c r="AD18" s="311" t="s">
        <v>111</v>
      </c>
      <c r="AE18" s="311" t="s">
        <v>112</v>
      </c>
      <c r="AF18" s="311" t="s">
        <v>113</v>
      </c>
      <c r="AG18" s="185" t="s">
        <v>101</v>
      </c>
      <c r="AH18" s="311" t="s">
        <v>114</v>
      </c>
      <c r="AI18" s="311" t="s">
        <v>115</v>
      </c>
      <c r="AJ18" s="311" t="s">
        <v>116</v>
      </c>
      <c r="AK18" s="185" t="s">
        <v>105</v>
      </c>
      <c r="AL18" s="225" t="s">
        <v>59</v>
      </c>
      <c r="AM18" s="219" t="s">
        <v>55</v>
      </c>
      <c r="AN18" s="96" t="s">
        <v>130</v>
      </c>
    </row>
    <row r="19" spans="2:40" s="28" customFormat="1" ht="27.7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M15+'MAR2022-R'!P21</f>
        <v>487743.3148636499</v>
      </c>
      <c r="N19" s="301">
        <f>M15+'MAR2022-R'!P21</f>
        <v>487743.3148636499</v>
      </c>
      <c r="O19" s="289">
        <f>O15+'MAR2022-R'!Q21</f>
        <v>759655.66</v>
      </c>
      <c r="P19" s="82">
        <f>P15+'MAR2022-R'!R21</f>
        <v>986.0518275625462</v>
      </c>
      <c r="Q19" s="291">
        <f>Q15+'FEB2022-R'!U21</f>
        <v>1797791.5248636499</v>
      </c>
      <c r="R19" s="290">
        <f>R15+'APR2022-R'!T21</f>
        <v>520804.25</v>
      </c>
      <c r="S19" s="350">
        <f>S15+'APR2022-R'!U21</f>
        <v>529631.6799999999</v>
      </c>
      <c r="T19" s="290">
        <f>T15+'APR2022-R'!V21</f>
        <v>16602.81</v>
      </c>
      <c r="U19" s="290"/>
      <c r="V19" s="82">
        <f>V15+'APR2022-R'!X21</f>
        <v>17588.86182756255</v>
      </c>
      <c r="W19" s="301">
        <f>W15+'APR2022-R'!Y21</f>
        <v>3206000</v>
      </c>
      <c r="X19" s="290">
        <f>X15+'APR2022-R'!Z21</f>
        <v>468266.26</v>
      </c>
      <c r="Y19" s="379">
        <f>Y15+'MAI2022-R'!AA21</f>
        <v>518660.4418275626</v>
      </c>
      <c r="Z19" s="350">
        <f>Z15+'MAI2022-R'!AB21</f>
        <v>693094.44</v>
      </c>
      <c r="AA19" s="82">
        <f>'MAI2022-R'!AC21</f>
        <v>341</v>
      </c>
      <c r="AB19" s="290">
        <f>AB15+'APR2022-R'!AB21</f>
        <v>471189.83999999997</v>
      </c>
      <c r="AC19" s="370">
        <f>AC15+'APR2022-R'!AC21</f>
        <v>1598252.2218275624</v>
      </c>
      <c r="AD19" s="290">
        <f>AD15+'APR2022-R'!AD21</f>
        <v>495000</v>
      </c>
      <c r="AE19" s="290">
        <f>AE15+'APR2022-R'!AE21</f>
        <v>495000</v>
      </c>
      <c r="AF19" s="290">
        <f>AF15+'APR2022-R'!AF21</f>
        <v>495000</v>
      </c>
      <c r="AG19" s="370">
        <f>AG15+'APR2022-R'!AG21</f>
        <v>1485000</v>
      </c>
      <c r="AH19" s="290">
        <f>AH15+'APR2022-R'!AH21</f>
        <v>487043</v>
      </c>
      <c r="AI19" s="290">
        <f>AI15+'APR2022-R'!AI21</f>
        <v>233642.41502272003</v>
      </c>
      <c r="AJ19" s="290">
        <f>AJ15+'APR2022-R'!AJ21</f>
        <v>15314.58453192003</v>
      </c>
      <c r="AK19" s="291">
        <f>AK15+'APR2022-R'!AK21</f>
        <v>735999.99955464</v>
      </c>
      <c r="AL19" s="360">
        <f>AL15+'APR2022-R'!AL21</f>
        <v>5785765.181382203</v>
      </c>
      <c r="AM19" s="361">
        <f>AM15+'APR2022-R'!AM21</f>
        <v>2496144.64</v>
      </c>
      <c r="AN19" s="290">
        <f>AN15+'MAI2022-R'!AP21</f>
        <v>-341</v>
      </c>
    </row>
    <row r="20" spans="3:39" ht="41.25" customHeight="1" thickBot="1">
      <c r="C20" s="246" t="s">
        <v>125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N20" s="585" t="s">
        <v>91</v>
      </c>
      <c r="O20" s="586"/>
      <c r="P20" s="206">
        <f>P16+'MAR2022-R'!R22</f>
        <v>272898.39</v>
      </c>
      <c r="Q20" s="282"/>
      <c r="R20" s="585" t="s">
        <v>117</v>
      </c>
      <c r="S20" s="586"/>
      <c r="T20" s="206">
        <f>T16+'APR2022-R'!V22</f>
        <v>25430.23999999999</v>
      </c>
      <c r="U20" s="282"/>
      <c r="V20" s="282"/>
      <c r="W20" s="282"/>
      <c r="X20" s="371">
        <f>S17+'APR2022-R'!V24</f>
        <v>17588.86182756255</v>
      </c>
      <c r="Y20" s="585" t="s">
        <v>129</v>
      </c>
      <c r="Z20" s="586"/>
      <c r="AA20" s="401">
        <f>AA16+'MAI2022-R'!AB22</f>
        <v>174774.9989529915</v>
      </c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330"/>
      <c r="AM20" s="331"/>
    </row>
    <row r="21" spans="2:39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279" t="s">
        <v>70</v>
      </c>
      <c r="AM21" s="234">
        <v>25429.76</v>
      </c>
    </row>
    <row r="22" spans="2:39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59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233" t="e">
        <f>#REF!</f>
        <v>#REF!</v>
      </c>
      <c r="AM22" s="41" t="e">
        <f>AM21-#REF!</f>
        <v>#REF!</v>
      </c>
    </row>
    <row r="23" spans="2:39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61" t="e">
        <f>C21+Q21-K22</f>
        <v>#REF!</v>
      </c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232">
        <v>667000</v>
      </c>
      <c r="AM23" s="211"/>
    </row>
    <row r="24" spans="2:39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5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116" t="e">
        <f>AL22-AL23</f>
        <v>#REF!</v>
      </c>
      <c r="AM24" s="36"/>
    </row>
    <row r="25" spans="2:39" ht="19.5" customHeight="1" hidden="1" thickBot="1">
      <c r="B25" s="188"/>
      <c r="C25" s="214">
        <v>72293.07</v>
      </c>
      <c r="D25" s="215"/>
      <c r="E25" s="215">
        <v>3323950</v>
      </c>
      <c r="Q25" s="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116"/>
      <c r="AM25" s="36"/>
    </row>
    <row r="26" spans="2:39" ht="25.5" customHeight="1" hidden="1" thickBot="1">
      <c r="B26" s="217"/>
      <c r="C26" s="218">
        <v>3982180</v>
      </c>
      <c r="Q26" s="152">
        <v>3982180</v>
      </c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210"/>
      <c r="AM26" s="212"/>
    </row>
    <row r="27" spans="2:39" ht="15" customHeight="1" thickBot="1">
      <c r="B27" s="188"/>
      <c r="C27" s="220"/>
      <c r="D27" s="221"/>
      <c r="E27" s="222"/>
      <c r="AL27" s="210"/>
      <c r="AM27" s="100"/>
    </row>
    <row r="28" spans="2:38" ht="25.5" customHeight="1" thickBot="1">
      <c r="B28" s="223" t="s">
        <v>60</v>
      </c>
      <c r="C28" s="244" t="s">
        <v>119</v>
      </c>
      <c r="D28" s="247" t="s">
        <v>118</v>
      </c>
      <c r="E28" s="183"/>
      <c r="F28" s="302"/>
      <c r="G28" s="302"/>
      <c r="H28" s="302"/>
      <c r="I28" s="302"/>
      <c r="J28" s="302"/>
      <c r="K28" s="302"/>
      <c r="L28" s="302"/>
      <c r="M28" s="302"/>
      <c r="N28" s="216"/>
      <c r="O28" s="216"/>
      <c r="P28" s="216"/>
      <c r="Q28" s="243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227">
        <v>44729</v>
      </c>
    </row>
    <row r="29" spans="2:4" ht="25.5" customHeight="1" thickBot="1">
      <c r="B29" s="326" t="s">
        <v>92</v>
      </c>
      <c r="C29" s="327" t="s">
        <v>93</v>
      </c>
      <c r="D29" s="2" t="s">
        <v>120</v>
      </c>
    </row>
    <row r="30" spans="2:5" ht="25.5" customHeight="1" thickBot="1">
      <c r="B30" s="328" t="s">
        <v>94</v>
      </c>
      <c r="C30" s="329">
        <f>1773.9+500</f>
        <v>2273.9</v>
      </c>
      <c r="E30" s="26">
        <f>E19+K19+N19</f>
        <v>1694600.6148636497</v>
      </c>
    </row>
  </sheetData>
  <sheetProtection/>
  <mergeCells count="9">
    <mergeCell ref="G20:I20"/>
    <mergeCell ref="N20:O20"/>
    <mergeCell ref="J16:K16"/>
    <mergeCell ref="J17:K17"/>
    <mergeCell ref="J20:K20"/>
    <mergeCell ref="Y20:Z20"/>
    <mergeCell ref="R16:S16"/>
    <mergeCell ref="R20:S20"/>
    <mergeCell ref="Q17:R17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J69"/>
  <sheetViews>
    <sheetView workbookViewId="0" topLeftCell="S4">
      <pane ySplit="1530" topLeftCell="BM13" activePane="bottomLeft" state="split"/>
      <selection pane="topLeft" activeCell="AM4" sqref="AM1:AO16384"/>
      <selection pane="bottomLeft" activeCell="AM24" sqref="AM2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75390625" style="69" bestFit="1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9.375" style="8" customWidth="1"/>
    <col min="20" max="25" width="8.625" style="313" customWidth="1"/>
    <col min="26" max="26" width="7.50390625" style="313" customWidth="1"/>
    <col min="27" max="27" width="8.375" style="313" customWidth="1"/>
    <col min="28" max="28" width="7.50390625" style="313" customWidth="1"/>
    <col min="29" max="29" width="8.875" style="313" customWidth="1"/>
    <col min="30" max="30" width="7.875" style="313" customWidth="1"/>
    <col min="31" max="32" width="7.875" style="313" hidden="1" customWidth="1"/>
    <col min="33" max="33" width="9.50390625" style="313" hidden="1" customWidth="1"/>
    <col min="34" max="36" width="7.75390625" style="313" hidden="1" customWidth="1"/>
    <col min="37" max="37" width="9.50390625" style="313" hidden="1" customWidth="1"/>
    <col min="38" max="38" width="9.875" style="26" customWidth="1"/>
    <col min="39" max="39" width="9.875" style="2" bestFit="1" customWidth="1"/>
    <col min="40" max="40" width="9.25390625" style="1" bestFit="1" customWidth="1"/>
    <col min="41" max="41" width="11.25390625" style="1" customWidth="1"/>
    <col min="42" max="16384" width="9.00390625" style="1" customWidth="1"/>
  </cols>
  <sheetData>
    <row r="1" spans="1:39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25"/>
      <c r="AM1" s="13"/>
    </row>
    <row r="2" ht="43.5" customHeight="1">
      <c r="A2" s="8"/>
    </row>
    <row r="3" spans="1:39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25"/>
      <c r="AM3" s="13"/>
    </row>
    <row r="4" spans="1:40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20" t="s">
        <v>110</v>
      </c>
      <c r="AC4" s="185" t="s">
        <v>87</v>
      </c>
      <c r="AD4" s="311" t="s">
        <v>111</v>
      </c>
      <c r="AE4" s="311" t="s">
        <v>112</v>
      </c>
      <c r="AF4" s="343" t="s">
        <v>113</v>
      </c>
      <c r="AG4" s="185" t="s">
        <v>101</v>
      </c>
      <c r="AH4" s="311" t="s">
        <v>114</v>
      </c>
      <c r="AI4" s="311" t="s">
        <v>115</v>
      </c>
      <c r="AJ4" s="343" t="s">
        <v>116</v>
      </c>
      <c r="AK4" s="185" t="s">
        <v>105</v>
      </c>
      <c r="AL4" s="317" t="s">
        <v>59</v>
      </c>
      <c r="AM4" s="219" t="s">
        <v>55</v>
      </c>
      <c r="AN4" s="96" t="s">
        <v>126</v>
      </c>
    </row>
    <row r="5" spans="1:40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85">
        <f>X5+Z5</f>
        <v>99000</v>
      </c>
      <c r="AB5" s="363">
        <v>99000</v>
      </c>
      <c r="AC5" s="78">
        <f>U5+AA5+AB5</f>
        <v>288559</v>
      </c>
      <c r="AD5" s="362">
        <v>99000</v>
      </c>
      <c r="AE5" s="362">
        <v>99000</v>
      </c>
      <c r="AF5" s="363">
        <v>99000</v>
      </c>
      <c r="AG5" s="78">
        <f>AD5+AE5+AF5</f>
        <v>297000</v>
      </c>
      <c r="AH5" s="362">
        <v>99000</v>
      </c>
      <c r="AI5" s="362">
        <v>19719.81300700002</v>
      </c>
      <c r="AJ5" s="363">
        <v>0</v>
      </c>
      <c r="AK5" s="78">
        <f>AH5+AI5+AJ5</f>
        <v>118719.81300700002</v>
      </c>
      <c r="AL5" s="235">
        <f>S5+AC5+AG5+AK5</f>
        <v>1003586.813007</v>
      </c>
      <c r="AM5" s="148">
        <f>S5+U5</f>
        <v>389867</v>
      </c>
      <c r="AN5" s="86">
        <f>X5-V5</f>
        <v>-11518.130000000005</v>
      </c>
    </row>
    <row r="6" spans="1:40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M6*M22/100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86">
        <f>X6+Z6</f>
        <v>40000</v>
      </c>
      <c r="AB6" s="364">
        <v>40000</v>
      </c>
      <c r="AC6" s="77">
        <f>U6+AA6+AB6</f>
        <v>120160</v>
      </c>
      <c r="AD6" s="83">
        <v>40000</v>
      </c>
      <c r="AE6" s="83">
        <v>40000</v>
      </c>
      <c r="AF6" s="364">
        <v>40000</v>
      </c>
      <c r="AG6" s="77">
        <f>AD6+AE6+AF6</f>
        <v>120000</v>
      </c>
      <c r="AH6" s="83">
        <v>40000</v>
      </c>
      <c r="AI6" s="83">
        <v>29643.709310200007</v>
      </c>
      <c r="AJ6" s="364">
        <v>0</v>
      </c>
      <c r="AK6" s="77">
        <f>AH6+AI6+AJ6</f>
        <v>69643.7093102</v>
      </c>
      <c r="AL6" s="236">
        <f>S6+AC6+AG6+AK6</f>
        <v>475570.7093102</v>
      </c>
      <c r="AM6" s="149">
        <f>S6+U6</f>
        <v>205927</v>
      </c>
      <c r="AN6" s="87">
        <f>X6-V6</f>
        <v>-1810.489999999998</v>
      </c>
    </row>
    <row r="7" spans="1:40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M7*M22/100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 aca="true" t="shared" si="0" ref="V7:V19">T7-U7</f>
        <v>-6600</v>
      </c>
      <c r="W7" s="265">
        <f>(C7+S7+U7)/16</f>
        <v>98761.5625</v>
      </c>
      <c r="X7" s="315">
        <f>W7*X24/100</f>
        <v>13642.831257451353</v>
      </c>
      <c r="Y7" s="341">
        <v>140623.19</v>
      </c>
      <c r="Z7" s="83">
        <f>20000-143.36</f>
        <v>19856.64</v>
      </c>
      <c r="AA7" s="389">
        <f aca="true" t="shared" si="1" ref="AA7:AA19">X7+Z7</f>
        <v>33499.471257451354</v>
      </c>
      <c r="AB7" s="364">
        <v>20000</v>
      </c>
      <c r="AC7" s="77">
        <f aca="true" t="shared" si="2" ref="AC7:AC19">U7+AA7+AB7</f>
        <v>81984.47125745135</v>
      </c>
      <c r="AD7" s="83">
        <v>20000</v>
      </c>
      <c r="AE7" s="83">
        <v>20000</v>
      </c>
      <c r="AF7" s="364">
        <v>20000</v>
      </c>
      <c r="AG7" s="77">
        <f aca="true" t="shared" si="3" ref="AG7:AG19">AD7+AE7+AF7</f>
        <v>60000</v>
      </c>
      <c r="AH7" s="83">
        <v>20623</v>
      </c>
      <c r="AI7" s="83">
        <v>20000.19</v>
      </c>
      <c r="AJ7" s="364">
        <v>0.0030900000165274832</v>
      </c>
      <c r="AK7" s="77">
        <f aca="true" t="shared" si="4" ref="AK7:AK19">AH7+AI7+AJ7</f>
        <v>40623.193090000015</v>
      </c>
      <c r="AL7" s="236">
        <f aca="true" t="shared" si="5" ref="AL7:AL19">S7+AC7+AG7+AK7</f>
        <v>490787.66434745135</v>
      </c>
      <c r="AM7" s="149">
        <f aca="true" t="shared" si="6" ref="AM7:AM19">S7+U7</f>
        <v>336665</v>
      </c>
      <c r="AN7" s="87">
        <f>X7</f>
        <v>13642.831257451353</v>
      </c>
    </row>
    <row r="8" spans="1:40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>D8-E8</f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>H8+I8+1121.78</f>
        <v>12357.004863649889</v>
      </c>
      <c r="K8" s="45">
        <v>12357</v>
      </c>
      <c r="L8" s="32">
        <f>J8-K8</f>
        <v>0.0048636498886480695</v>
      </c>
      <c r="M8" s="268">
        <f>(C8+E8+K8)/14</f>
        <v>13134.07142857143</v>
      </c>
      <c r="N8" s="33">
        <f>11966.32-1121.78</f>
        <v>10844.539999999999</v>
      </c>
      <c r="O8" s="268">
        <f>M8*M22/100</f>
        <v>238.97182756254446</v>
      </c>
      <c r="P8" s="298">
        <f>N8+O8</f>
        <v>11083.511827562543</v>
      </c>
      <c r="Q8" s="45">
        <v>11083</v>
      </c>
      <c r="R8" s="32">
        <f>P8-Q8</f>
        <v>0.5118275625427486</v>
      </c>
      <c r="S8" s="77">
        <f>E8+K8+Q8</f>
        <v>36577</v>
      </c>
      <c r="T8" s="315">
        <f>12087.19+1111.81</f>
        <v>13199</v>
      </c>
      <c r="U8" s="337">
        <v>13199</v>
      </c>
      <c r="V8" s="315">
        <f t="shared" si="0"/>
        <v>0</v>
      </c>
      <c r="W8" s="265">
        <f>(C8+S8+U8)/16</f>
        <v>13009.9375</v>
      </c>
      <c r="X8" s="315">
        <f>W8*X24/100</f>
        <v>1797.1807805540595</v>
      </c>
      <c r="Y8" s="341">
        <v>77123.49</v>
      </c>
      <c r="Z8" s="83">
        <f>12000-1111.81</f>
        <v>10888.19</v>
      </c>
      <c r="AA8" s="389">
        <f t="shared" si="1"/>
        <v>12685.37078055406</v>
      </c>
      <c r="AB8" s="364">
        <v>12000</v>
      </c>
      <c r="AC8" s="77">
        <f t="shared" si="2"/>
        <v>37884.37078055406</v>
      </c>
      <c r="AD8" s="83">
        <v>12000</v>
      </c>
      <c r="AE8" s="83">
        <v>12000</v>
      </c>
      <c r="AF8" s="364">
        <v>12000</v>
      </c>
      <c r="AG8" s="77">
        <f t="shared" si="3"/>
        <v>36000</v>
      </c>
      <c r="AH8" s="83">
        <v>12000</v>
      </c>
      <c r="AI8" s="83">
        <v>5123.493752520008</v>
      </c>
      <c r="AJ8" s="364">
        <v>0</v>
      </c>
      <c r="AK8" s="77">
        <f t="shared" si="4"/>
        <v>17123.493752520008</v>
      </c>
      <c r="AL8" s="236">
        <f t="shared" si="5"/>
        <v>127584.86453307407</v>
      </c>
      <c r="AM8" s="149">
        <f t="shared" si="6"/>
        <v>49776</v>
      </c>
      <c r="AN8" s="87">
        <f>X8</f>
        <v>1797.1807805540595</v>
      </c>
    </row>
    <row r="9" spans="1:40" s="5" customFormat="1" ht="26.25" customHeigh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>D9-E9</f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>H9+I9+669.26</f>
        <v>7429.99983933246</v>
      </c>
      <c r="K9" s="45">
        <v>7745</v>
      </c>
      <c r="L9" s="204">
        <f>J9-K9</f>
        <v>-315.0001606675396</v>
      </c>
      <c r="M9" s="268">
        <f>(C9+E9+K9)/14</f>
        <v>7917.5</v>
      </c>
      <c r="N9" s="33">
        <f>7170.08-669.26</f>
        <v>6500.82</v>
      </c>
      <c r="O9" s="268">
        <f>M9*M22/100</f>
        <v>144.05734391016952</v>
      </c>
      <c r="P9" s="298">
        <f>N9+O9</f>
        <v>6644.87734391017</v>
      </c>
      <c r="Q9" s="45">
        <v>6850</v>
      </c>
      <c r="R9" s="204">
        <f>P9-Q9</f>
        <v>-205.12265608983034</v>
      </c>
      <c r="S9" s="77">
        <f>E9+K9+Q9</f>
        <v>22320</v>
      </c>
      <c r="T9" s="315">
        <f>7242.51+722.49</f>
        <v>7965</v>
      </c>
      <c r="U9" s="337">
        <v>7965</v>
      </c>
      <c r="V9" s="315">
        <f t="shared" si="0"/>
        <v>0</v>
      </c>
      <c r="W9" s="265">
        <f>(C9+S9+U9)/16</f>
        <v>7853.75</v>
      </c>
      <c r="X9" s="315">
        <f>W9*X24/100</f>
        <v>1084.9097895571324</v>
      </c>
      <c r="Y9" s="341">
        <v>46932.6</v>
      </c>
      <c r="Z9" s="83">
        <f>7000-722.49</f>
        <v>6277.51</v>
      </c>
      <c r="AA9" s="389">
        <f t="shared" si="1"/>
        <v>7362.419789557132</v>
      </c>
      <c r="AB9" s="364">
        <v>7000</v>
      </c>
      <c r="AC9" s="77">
        <f t="shared" si="2"/>
        <v>22327.419789557134</v>
      </c>
      <c r="AD9" s="83">
        <v>7000</v>
      </c>
      <c r="AE9" s="83">
        <v>7000</v>
      </c>
      <c r="AF9" s="364">
        <v>7000</v>
      </c>
      <c r="AG9" s="77">
        <f t="shared" si="3"/>
        <v>21000</v>
      </c>
      <c r="AH9" s="83">
        <v>7000</v>
      </c>
      <c r="AI9" s="83">
        <v>4932.596685000004</v>
      </c>
      <c r="AJ9" s="364">
        <v>0</v>
      </c>
      <c r="AK9" s="77">
        <f t="shared" si="4"/>
        <v>11932.596685000004</v>
      </c>
      <c r="AL9" s="236">
        <f t="shared" si="5"/>
        <v>77580.01647455714</v>
      </c>
      <c r="AM9" s="149">
        <f t="shared" si="6"/>
        <v>30285</v>
      </c>
      <c r="AN9" s="87">
        <f>X9</f>
        <v>1084.9097895571324</v>
      </c>
    </row>
    <row r="10" spans="1:40" s="5" customFormat="1" ht="20.25" customHeight="1" thickBot="1">
      <c r="A10" s="4"/>
      <c r="B10" s="125" t="s">
        <v>1</v>
      </c>
      <c r="C10" s="47">
        <v>3105146</v>
      </c>
      <c r="D10" s="47">
        <f>SUM(D5:D9)</f>
        <v>185273.01</v>
      </c>
      <c r="E10" s="47">
        <f>SUM(E5:E9)</f>
        <v>243687</v>
      </c>
      <c r="F10" s="47">
        <f>F5+F8</f>
        <v>4125.550000000003</v>
      </c>
      <c r="G10" s="47">
        <f>SUM(G5:G9)</f>
        <v>173459</v>
      </c>
      <c r="H10" s="47">
        <f>SUM(H5:H9)</f>
        <v>181276.47</v>
      </c>
      <c r="I10" s="47">
        <f>SUM(I5:I9)</f>
        <v>5312.620000000002</v>
      </c>
      <c r="J10" s="47">
        <f>SUM(J5:J9)</f>
        <v>188535.34</v>
      </c>
      <c r="K10" s="47">
        <f>SUM(K5:K9)</f>
        <v>234311</v>
      </c>
      <c r="L10" s="47">
        <f>L5+L8</f>
        <v>10.36486364988923</v>
      </c>
      <c r="M10" s="47">
        <f>SUM(M5:M9)</f>
        <v>170588</v>
      </c>
      <c r="N10" s="47">
        <f>SUM(N5:N9)</f>
        <v>181350.30000000002</v>
      </c>
      <c r="O10" s="47">
        <f>SUM(O5:O9)</f>
        <v>3103.8148636498895</v>
      </c>
      <c r="P10" s="47">
        <f>SUM(P5:P9)</f>
        <v>184483.17486364988</v>
      </c>
      <c r="Q10" s="47">
        <f>SUM(Q5:Q9)</f>
        <v>354154</v>
      </c>
      <c r="R10" s="47">
        <f>R5+R8</f>
        <v>5.871827562543331</v>
      </c>
      <c r="S10" s="47">
        <f>S5+S8</f>
        <v>335885</v>
      </c>
      <c r="T10" s="335">
        <f>SUM(T5:T9)</f>
        <v>187096.62</v>
      </c>
      <c r="U10" s="335">
        <f>SUM(U5:U9)</f>
        <v>180368</v>
      </c>
      <c r="V10" s="335">
        <f>V5+V6</f>
        <v>13328.620000000003</v>
      </c>
      <c r="W10" s="347">
        <f aca="true" t="shared" si="7" ref="W10:AC10">SUM(W5:W9)</f>
        <v>119625.25</v>
      </c>
      <c r="X10" s="347">
        <f t="shared" si="7"/>
        <v>16524.921827562546</v>
      </c>
      <c r="Y10" s="347">
        <f t="shared" si="7"/>
        <v>1148042.8</v>
      </c>
      <c r="Z10" s="347">
        <f t="shared" si="7"/>
        <v>176022.34000000003</v>
      </c>
      <c r="AA10" s="369">
        <f t="shared" si="7"/>
        <v>192547.26182756253</v>
      </c>
      <c r="AB10" s="381">
        <f t="shared" si="7"/>
        <v>178000</v>
      </c>
      <c r="AC10" s="368">
        <f t="shared" si="7"/>
        <v>550915.2618275625</v>
      </c>
      <c r="AD10" s="347">
        <f aca="true" t="shared" si="8" ref="AD10:AK10">SUM(AD5:AD9)</f>
        <v>178000</v>
      </c>
      <c r="AE10" s="347">
        <f t="shared" si="8"/>
        <v>178000</v>
      </c>
      <c r="AF10" s="347">
        <f t="shared" si="8"/>
        <v>178000</v>
      </c>
      <c r="AG10" s="347">
        <f t="shared" si="8"/>
        <v>534000</v>
      </c>
      <c r="AH10" s="347">
        <f t="shared" si="8"/>
        <v>178623</v>
      </c>
      <c r="AI10" s="347">
        <f t="shared" si="8"/>
        <v>79419.80275472003</v>
      </c>
      <c r="AJ10" s="347">
        <f t="shared" si="8"/>
        <v>0.0030900000165274832</v>
      </c>
      <c r="AK10" s="369">
        <f t="shared" si="8"/>
        <v>258042.80584472005</v>
      </c>
      <c r="AL10" s="47">
        <f>SUM(AL5:AL9)</f>
        <v>2175110.0676722825</v>
      </c>
      <c r="AM10" s="47">
        <f>SUM(AM5:AM9)</f>
        <v>1012520</v>
      </c>
      <c r="AN10" s="47">
        <f>SUM(AN5:AN9)</f>
        <v>3196.301827562542</v>
      </c>
    </row>
    <row r="11" spans="1:40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aca="true" t="shared" si="9" ref="F11:F19">D11-E11</f>
        <v>0</v>
      </c>
      <c r="G11" s="32"/>
      <c r="H11" s="24">
        <v>0</v>
      </c>
      <c r="I11" s="23"/>
      <c r="J11" s="181">
        <f aca="true" t="shared" si="10" ref="J11:J19">H11+I11</f>
        <v>0</v>
      </c>
      <c r="K11" s="45"/>
      <c r="L11" s="32">
        <f aca="true" t="shared" si="11" ref="L11:L19">J11-K11</f>
        <v>0</v>
      </c>
      <c r="M11" s="32"/>
      <c r="N11" s="33">
        <v>0</v>
      </c>
      <c r="O11" s="32"/>
      <c r="P11" s="298">
        <f aca="true" t="shared" si="12" ref="P11:P19">N11+O11</f>
        <v>0</v>
      </c>
      <c r="Q11" s="45"/>
      <c r="R11" s="32"/>
      <c r="S11" s="77">
        <f aca="true" t="shared" si="13" ref="S11:S19">E11+K11+Q11</f>
        <v>0</v>
      </c>
      <c r="T11" s="315">
        <v>0</v>
      </c>
      <c r="U11" s="337"/>
      <c r="V11" s="315">
        <f t="shared" si="0"/>
        <v>0</v>
      </c>
      <c r="W11" s="265">
        <v>0</v>
      </c>
      <c r="X11" s="315"/>
      <c r="Y11" s="341"/>
      <c r="Z11" s="83"/>
      <c r="AA11" s="386">
        <f t="shared" si="1"/>
        <v>0</v>
      </c>
      <c r="AB11" s="364"/>
      <c r="AC11" s="359">
        <f t="shared" si="2"/>
        <v>0</v>
      </c>
      <c r="AD11" s="265"/>
      <c r="AE11" s="265"/>
      <c r="AF11" s="315"/>
      <c r="AG11" s="77">
        <f t="shared" si="3"/>
        <v>0</v>
      </c>
      <c r="AH11" s="265"/>
      <c r="AI11" s="265"/>
      <c r="AJ11" s="315"/>
      <c r="AK11" s="77">
        <f t="shared" si="4"/>
        <v>0</v>
      </c>
      <c r="AL11" s="236">
        <f t="shared" si="5"/>
        <v>0</v>
      </c>
      <c r="AM11" s="149">
        <f t="shared" si="6"/>
        <v>0</v>
      </c>
      <c r="AN11" s="87"/>
    </row>
    <row r="12" spans="1:40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9"/>
        <v>12.069999999999936</v>
      </c>
      <c r="G12" s="32"/>
      <c r="H12" s="24">
        <v>1268.31</v>
      </c>
      <c r="I12" s="23"/>
      <c r="J12" s="181">
        <f t="shared" si="10"/>
        <v>1268.31</v>
      </c>
      <c r="K12" s="45">
        <v>1260</v>
      </c>
      <c r="L12" s="32">
        <f t="shared" si="11"/>
        <v>8.309999999999945</v>
      </c>
      <c r="M12" s="32"/>
      <c r="N12" s="33">
        <v>1268.31</v>
      </c>
      <c r="O12" s="32"/>
      <c r="P12" s="298">
        <f t="shared" si="12"/>
        <v>1268.31</v>
      </c>
      <c r="Q12" s="45">
        <v>1260</v>
      </c>
      <c r="R12" s="32">
        <f aca="true" t="shared" si="14" ref="R12:R19">P12-Q12</f>
        <v>8.309999999999945</v>
      </c>
      <c r="S12" s="77">
        <f t="shared" si="13"/>
        <v>3780</v>
      </c>
      <c r="T12" s="315">
        <v>1281.12</v>
      </c>
      <c r="U12" s="337">
        <v>1260</v>
      </c>
      <c r="V12" s="315">
        <f t="shared" si="0"/>
        <v>21.11999999999989</v>
      </c>
      <c r="W12" s="265">
        <v>0</v>
      </c>
      <c r="X12" s="315"/>
      <c r="Y12" s="341">
        <v>8301.85</v>
      </c>
      <c r="Z12" s="83">
        <v>960</v>
      </c>
      <c r="AA12" s="386">
        <f t="shared" si="1"/>
        <v>960</v>
      </c>
      <c r="AB12" s="364">
        <v>960</v>
      </c>
      <c r="AC12" s="77">
        <f t="shared" si="2"/>
        <v>3180</v>
      </c>
      <c r="AD12" s="83">
        <v>1200</v>
      </c>
      <c r="AE12" s="83">
        <v>1200</v>
      </c>
      <c r="AF12" s="364">
        <v>1200</v>
      </c>
      <c r="AG12" s="77">
        <f t="shared" si="3"/>
        <v>3600</v>
      </c>
      <c r="AH12" s="83">
        <v>1200</v>
      </c>
      <c r="AI12" s="83">
        <v>1200</v>
      </c>
      <c r="AJ12" s="364">
        <v>381.85488027999963</v>
      </c>
      <c r="AK12" s="77">
        <f t="shared" si="4"/>
        <v>2781.8548802799996</v>
      </c>
      <c r="AL12" s="236">
        <f t="shared" si="5"/>
        <v>13341.85488028</v>
      </c>
      <c r="AM12" s="149">
        <f t="shared" si="6"/>
        <v>5040</v>
      </c>
      <c r="AN12" s="87">
        <f>X12-V12</f>
        <v>-21.11999999999989</v>
      </c>
    </row>
    <row r="13" spans="1:40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9"/>
        <v>3.3099999999999454</v>
      </c>
      <c r="G13" s="32"/>
      <c r="H13" s="24">
        <v>721.18</v>
      </c>
      <c r="I13" s="23"/>
      <c r="J13" s="181">
        <f t="shared" si="10"/>
        <v>721.18</v>
      </c>
      <c r="K13" s="45">
        <v>720</v>
      </c>
      <c r="L13" s="32">
        <f t="shared" si="11"/>
        <v>1.17999999999995</v>
      </c>
      <c r="M13" s="32"/>
      <c r="N13" s="33">
        <v>721.18</v>
      </c>
      <c r="O13" s="32"/>
      <c r="P13" s="298">
        <f t="shared" si="12"/>
        <v>721.18</v>
      </c>
      <c r="Q13" s="45">
        <v>720</v>
      </c>
      <c r="R13" s="32">
        <f t="shared" si="14"/>
        <v>1.17999999999995</v>
      </c>
      <c r="S13" s="77">
        <f t="shared" si="13"/>
        <v>2160</v>
      </c>
      <c r="T13" s="315">
        <v>728.46</v>
      </c>
      <c r="U13" s="337">
        <v>480</v>
      </c>
      <c r="V13" s="315">
        <f t="shared" si="0"/>
        <v>248.46000000000004</v>
      </c>
      <c r="W13" s="265">
        <v>0</v>
      </c>
      <c r="X13" s="315"/>
      <c r="Y13" s="341">
        <v>4720.54</v>
      </c>
      <c r="Z13" s="83">
        <v>660</v>
      </c>
      <c r="AA13" s="386">
        <f t="shared" si="1"/>
        <v>660</v>
      </c>
      <c r="AB13" s="364">
        <v>660</v>
      </c>
      <c r="AC13" s="77">
        <f t="shared" si="2"/>
        <v>1800</v>
      </c>
      <c r="AD13" s="83">
        <v>660</v>
      </c>
      <c r="AE13" s="83">
        <v>660</v>
      </c>
      <c r="AF13" s="364">
        <v>660</v>
      </c>
      <c r="AG13" s="77">
        <f t="shared" si="3"/>
        <v>1980</v>
      </c>
      <c r="AH13" s="83">
        <v>660</v>
      </c>
      <c r="AI13" s="83">
        <v>660</v>
      </c>
      <c r="AJ13" s="364">
        <v>100.53673324000101</v>
      </c>
      <c r="AK13" s="77">
        <f t="shared" si="4"/>
        <v>1420.536733240001</v>
      </c>
      <c r="AL13" s="236">
        <f t="shared" si="5"/>
        <v>7360.536733240001</v>
      </c>
      <c r="AM13" s="149">
        <f t="shared" si="6"/>
        <v>2640</v>
      </c>
      <c r="AN13" s="87">
        <f aca="true" t="shared" si="15" ref="AN13:AN19">X13-V13</f>
        <v>-248.46000000000004</v>
      </c>
    </row>
    <row r="14" spans="1:40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9"/>
        <v>57.379999999999995</v>
      </c>
      <c r="G14" s="32"/>
      <c r="H14" s="24">
        <v>894.73</v>
      </c>
      <c r="I14" s="23"/>
      <c r="J14" s="181">
        <f t="shared" si="10"/>
        <v>894.73</v>
      </c>
      <c r="K14" s="45">
        <v>840</v>
      </c>
      <c r="L14" s="32">
        <f t="shared" si="11"/>
        <v>54.73000000000002</v>
      </c>
      <c r="M14" s="32"/>
      <c r="N14" s="33">
        <v>894.73</v>
      </c>
      <c r="O14" s="32"/>
      <c r="P14" s="298">
        <f t="shared" si="12"/>
        <v>894.73</v>
      </c>
      <c r="Q14" s="45">
        <v>840</v>
      </c>
      <c r="R14" s="32">
        <f t="shared" si="14"/>
        <v>54.73000000000002</v>
      </c>
      <c r="S14" s="77">
        <f t="shared" si="13"/>
        <v>2520</v>
      </c>
      <c r="T14" s="315">
        <v>903.77</v>
      </c>
      <c r="U14" s="337">
        <v>900</v>
      </c>
      <c r="V14" s="315">
        <f t="shared" si="0"/>
        <v>3.769999999999982</v>
      </c>
      <c r="W14" s="265">
        <v>0</v>
      </c>
      <c r="X14" s="315"/>
      <c r="Y14" s="341">
        <v>5856.55</v>
      </c>
      <c r="Z14" s="83">
        <v>780</v>
      </c>
      <c r="AA14" s="386">
        <f t="shared" si="1"/>
        <v>780</v>
      </c>
      <c r="AB14" s="364">
        <v>780</v>
      </c>
      <c r="AC14" s="77">
        <f t="shared" si="2"/>
        <v>2460</v>
      </c>
      <c r="AD14" s="83">
        <v>780</v>
      </c>
      <c r="AE14" s="83">
        <v>780</v>
      </c>
      <c r="AF14" s="364">
        <v>780</v>
      </c>
      <c r="AG14" s="77">
        <f t="shared" si="3"/>
        <v>2340</v>
      </c>
      <c r="AH14" s="83">
        <v>780</v>
      </c>
      <c r="AI14" s="83">
        <v>780</v>
      </c>
      <c r="AJ14" s="364">
        <v>396.54625300000043</v>
      </c>
      <c r="AK14" s="77">
        <f t="shared" si="4"/>
        <v>1956.5462530000004</v>
      </c>
      <c r="AL14" s="236">
        <f t="shared" si="5"/>
        <v>9276.546253</v>
      </c>
      <c r="AM14" s="149">
        <f t="shared" si="6"/>
        <v>3420</v>
      </c>
      <c r="AN14" s="87">
        <f t="shared" si="15"/>
        <v>-3.769999999999982</v>
      </c>
    </row>
    <row r="15" spans="1:40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9"/>
        <v>70.20000000000005</v>
      </c>
      <c r="G15" s="32"/>
      <c r="H15" s="24">
        <v>728.04</v>
      </c>
      <c r="I15" s="23"/>
      <c r="J15" s="181">
        <f t="shared" si="10"/>
        <v>728.04</v>
      </c>
      <c r="K15" s="45">
        <v>720</v>
      </c>
      <c r="L15" s="32">
        <f t="shared" si="11"/>
        <v>8.039999999999964</v>
      </c>
      <c r="M15" s="32"/>
      <c r="N15" s="33">
        <v>728.04</v>
      </c>
      <c r="O15" s="32"/>
      <c r="P15" s="298">
        <f t="shared" si="12"/>
        <v>728.04</v>
      </c>
      <c r="Q15" s="45">
        <v>660</v>
      </c>
      <c r="R15" s="32">
        <f t="shared" si="14"/>
        <v>68.03999999999996</v>
      </c>
      <c r="S15" s="77">
        <f t="shared" si="13"/>
        <v>2040</v>
      </c>
      <c r="T15" s="315">
        <v>735.39</v>
      </c>
      <c r="U15" s="337">
        <v>180</v>
      </c>
      <c r="V15" s="315">
        <f t="shared" si="0"/>
        <v>555.39</v>
      </c>
      <c r="W15" s="265">
        <v>0</v>
      </c>
      <c r="X15" s="315"/>
      <c r="Y15" s="341">
        <v>4765.46</v>
      </c>
      <c r="Z15" s="83">
        <v>660</v>
      </c>
      <c r="AA15" s="386">
        <f t="shared" si="1"/>
        <v>660</v>
      </c>
      <c r="AB15" s="364">
        <v>660</v>
      </c>
      <c r="AC15" s="77">
        <f t="shared" si="2"/>
        <v>1500</v>
      </c>
      <c r="AD15" s="83">
        <v>660</v>
      </c>
      <c r="AE15" s="83">
        <v>660</v>
      </c>
      <c r="AF15" s="364">
        <v>660</v>
      </c>
      <c r="AG15" s="77">
        <f t="shared" si="3"/>
        <v>1980</v>
      </c>
      <c r="AH15" s="83">
        <v>660</v>
      </c>
      <c r="AI15" s="83">
        <v>660</v>
      </c>
      <c r="AJ15" s="364">
        <v>145.46366339999986</v>
      </c>
      <c r="AK15" s="77">
        <f t="shared" si="4"/>
        <v>1465.4636633999999</v>
      </c>
      <c r="AL15" s="236">
        <f t="shared" si="5"/>
        <v>6985.4636634</v>
      </c>
      <c r="AM15" s="149">
        <f t="shared" si="6"/>
        <v>2220</v>
      </c>
      <c r="AN15" s="87">
        <f t="shared" si="15"/>
        <v>-555.39</v>
      </c>
    </row>
    <row r="16" spans="1:40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9"/>
        <v>0.2699999999999818</v>
      </c>
      <c r="G16" s="32"/>
      <c r="H16" s="24">
        <v>2647.42</v>
      </c>
      <c r="I16" s="24"/>
      <c r="J16" s="181">
        <f t="shared" si="10"/>
        <v>2647.42</v>
      </c>
      <c r="K16" s="74">
        <v>2640</v>
      </c>
      <c r="L16" s="32">
        <f t="shared" si="11"/>
        <v>7.420000000000073</v>
      </c>
      <c r="M16" s="32"/>
      <c r="N16" s="33">
        <v>2647.42</v>
      </c>
      <c r="O16" s="32"/>
      <c r="P16" s="298">
        <f t="shared" si="12"/>
        <v>2647.42</v>
      </c>
      <c r="Q16" s="45">
        <v>2640</v>
      </c>
      <c r="R16" s="32">
        <f t="shared" si="14"/>
        <v>7.420000000000073</v>
      </c>
      <c r="S16" s="77">
        <f t="shared" si="13"/>
        <v>7935</v>
      </c>
      <c r="T16" s="315">
        <v>2674.16</v>
      </c>
      <c r="U16" s="337">
        <v>2670</v>
      </c>
      <c r="V16" s="315">
        <f t="shared" si="0"/>
        <v>4.1599999999998545</v>
      </c>
      <c r="W16" s="265">
        <v>0</v>
      </c>
      <c r="X16" s="315"/>
      <c r="Y16" s="341">
        <v>17328.96</v>
      </c>
      <c r="Z16" s="83">
        <v>2400</v>
      </c>
      <c r="AA16" s="386">
        <f t="shared" si="1"/>
        <v>2400</v>
      </c>
      <c r="AB16" s="364">
        <v>2400</v>
      </c>
      <c r="AC16" s="77">
        <f t="shared" si="2"/>
        <v>7470</v>
      </c>
      <c r="AD16" s="83">
        <v>2400</v>
      </c>
      <c r="AE16" s="83">
        <v>2400</v>
      </c>
      <c r="AF16" s="364">
        <v>2400</v>
      </c>
      <c r="AG16" s="77">
        <f t="shared" si="3"/>
        <v>7200</v>
      </c>
      <c r="AH16" s="83">
        <v>2400</v>
      </c>
      <c r="AI16" s="83">
        <v>2400</v>
      </c>
      <c r="AJ16" s="364">
        <v>528.9587760000031</v>
      </c>
      <c r="AK16" s="77">
        <f t="shared" si="4"/>
        <v>5328.958776000003</v>
      </c>
      <c r="AL16" s="236">
        <f t="shared" si="5"/>
        <v>27933.958776000003</v>
      </c>
      <c r="AM16" s="149">
        <f t="shared" si="6"/>
        <v>10605</v>
      </c>
      <c r="AN16" s="87">
        <f t="shared" si="15"/>
        <v>-4.1599999999998545</v>
      </c>
    </row>
    <row r="17" spans="1:40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9"/>
        <v>31.070000000000164</v>
      </c>
      <c r="G17" s="32"/>
      <c r="H17" s="24">
        <v>2304.23</v>
      </c>
      <c r="I17" s="23"/>
      <c r="J17" s="181">
        <f t="shared" si="10"/>
        <v>2304.23</v>
      </c>
      <c r="K17" s="45">
        <v>0</v>
      </c>
      <c r="L17" s="32">
        <f t="shared" si="11"/>
        <v>2304.23</v>
      </c>
      <c r="M17" s="32"/>
      <c r="N17" s="33">
        <v>2304.23</v>
      </c>
      <c r="O17" s="32"/>
      <c r="P17" s="298">
        <f t="shared" si="12"/>
        <v>2304.23</v>
      </c>
      <c r="Q17" s="45">
        <v>2280</v>
      </c>
      <c r="R17" s="32">
        <f t="shared" si="14"/>
        <v>24.230000000000018</v>
      </c>
      <c r="S17" s="77">
        <f t="shared" si="13"/>
        <v>4560</v>
      </c>
      <c r="T17" s="315">
        <v>2327.51</v>
      </c>
      <c r="U17" s="337">
        <v>1940</v>
      </c>
      <c r="V17" s="315">
        <f t="shared" si="0"/>
        <v>387.5100000000002</v>
      </c>
      <c r="W17" s="265">
        <v>0</v>
      </c>
      <c r="X17" s="315"/>
      <c r="Y17" s="341">
        <v>15082.61</v>
      </c>
      <c r="Z17" s="83">
        <v>2220</v>
      </c>
      <c r="AA17" s="386">
        <f t="shared" si="1"/>
        <v>2220</v>
      </c>
      <c r="AB17" s="364">
        <v>2220</v>
      </c>
      <c r="AC17" s="77">
        <f t="shared" si="2"/>
        <v>6380</v>
      </c>
      <c r="AD17" s="83">
        <v>2220</v>
      </c>
      <c r="AE17" s="83">
        <v>2220</v>
      </c>
      <c r="AF17" s="364">
        <v>2220</v>
      </c>
      <c r="AG17" s="77">
        <f t="shared" si="3"/>
        <v>6660</v>
      </c>
      <c r="AH17" s="83">
        <v>2220</v>
      </c>
      <c r="AI17" s="83">
        <v>1762.6122680000008</v>
      </c>
      <c r="AJ17" s="364">
        <v>0</v>
      </c>
      <c r="AK17" s="77">
        <f t="shared" si="4"/>
        <v>3982.6122680000008</v>
      </c>
      <c r="AL17" s="236">
        <f t="shared" si="5"/>
        <v>21582.612268</v>
      </c>
      <c r="AM17" s="149">
        <f t="shared" si="6"/>
        <v>6500</v>
      </c>
      <c r="AN17" s="87">
        <f t="shared" si="15"/>
        <v>-387.5100000000002</v>
      </c>
    </row>
    <row r="18" spans="1:40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9"/>
        <v>1005.98</v>
      </c>
      <c r="G18" s="32"/>
      <c r="H18" s="24">
        <v>1421.76</v>
      </c>
      <c r="I18" s="23"/>
      <c r="J18" s="181">
        <f t="shared" si="10"/>
        <v>1421.76</v>
      </c>
      <c r="K18" s="45">
        <v>720</v>
      </c>
      <c r="L18" s="32">
        <f t="shared" si="11"/>
        <v>701.76</v>
      </c>
      <c r="M18" s="32"/>
      <c r="N18" s="33">
        <v>1421.76</v>
      </c>
      <c r="O18" s="32"/>
      <c r="P18" s="298">
        <f t="shared" si="12"/>
        <v>1421.76</v>
      </c>
      <c r="Q18" s="45">
        <v>630</v>
      </c>
      <c r="R18" s="32">
        <f t="shared" si="14"/>
        <v>791.76</v>
      </c>
      <c r="S18" s="77">
        <f t="shared" si="13"/>
        <v>1770</v>
      </c>
      <c r="T18" s="315">
        <v>1436.12</v>
      </c>
      <c r="U18" s="337">
        <v>450</v>
      </c>
      <c r="V18" s="315">
        <f t="shared" si="0"/>
        <v>986.1199999999999</v>
      </c>
      <c r="W18" s="265">
        <v>0</v>
      </c>
      <c r="X18" s="315"/>
      <c r="Y18" s="341">
        <v>9306.29</v>
      </c>
      <c r="Z18" s="83">
        <v>820</v>
      </c>
      <c r="AA18" s="386">
        <f t="shared" si="1"/>
        <v>820</v>
      </c>
      <c r="AB18" s="364">
        <v>820</v>
      </c>
      <c r="AC18" s="77">
        <f t="shared" si="2"/>
        <v>2090</v>
      </c>
      <c r="AD18" s="83">
        <v>1300</v>
      </c>
      <c r="AE18" s="83">
        <v>1300</v>
      </c>
      <c r="AF18" s="364">
        <v>1300</v>
      </c>
      <c r="AG18" s="77">
        <f t="shared" si="3"/>
        <v>3900</v>
      </c>
      <c r="AH18" s="83">
        <v>1500</v>
      </c>
      <c r="AI18" s="83">
        <v>1500</v>
      </c>
      <c r="AJ18" s="364">
        <v>766.2926760000009</v>
      </c>
      <c r="AK18" s="77">
        <f t="shared" si="4"/>
        <v>3766.292676000001</v>
      </c>
      <c r="AL18" s="236">
        <f t="shared" si="5"/>
        <v>11526.292676000001</v>
      </c>
      <c r="AM18" s="149">
        <f t="shared" si="6"/>
        <v>2220</v>
      </c>
      <c r="AN18" s="87">
        <f t="shared" si="15"/>
        <v>-986.1199999999999</v>
      </c>
    </row>
    <row r="19" spans="1:40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9"/>
        <v>6.789999999999964</v>
      </c>
      <c r="G19" s="63"/>
      <c r="H19" s="30">
        <v>4717.78</v>
      </c>
      <c r="I19" s="54"/>
      <c r="J19" s="260">
        <f t="shared" si="10"/>
        <v>4717.78</v>
      </c>
      <c r="K19" s="46">
        <v>4710</v>
      </c>
      <c r="L19" s="32">
        <f t="shared" si="11"/>
        <v>7.779999999999745</v>
      </c>
      <c r="M19" s="63"/>
      <c r="N19" s="34">
        <v>4717.78</v>
      </c>
      <c r="O19" s="63"/>
      <c r="P19" s="298">
        <f t="shared" si="12"/>
        <v>4717.78</v>
      </c>
      <c r="Q19" s="46">
        <v>4695</v>
      </c>
      <c r="R19" s="32">
        <f t="shared" si="14"/>
        <v>22.779999999999745</v>
      </c>
      <c r="S19" s="77">
        <f t="shared" si="13"/>
        <v>14130</v>
      </c>
      <c r="T19" s="315">
        <v>4765.45</v>
      </c>
      <c r="U19" s="338">
        <v>4760</v>
      </c>
      <c r="V19" s="315">
        <f t="shared" si="0"/>
        <v>5.449999999999818</v>
      </c>
      <c r="W19" s="265">
        <v>0</v>
      </c>
      <c r="X19" s="380"/>
      <c r="Y19" s="342">
        <v>68994.94</v>
      </c>
      <c r="Z19" s="365">
        <v>9000</v>
      </c>
      <c r="AA19" s="386">
        <f t="shared" si="1"/>
        <v>9000</v>
      </c>
      <c r="AB19" s="364">
        <v>9000</v>
      </c>
      <c r="AC19" s="77">
        <f t="shared" si="2"/>
        <v>22760</v>
      </c>
      <c r="AD19" s="365">
        <v>9000</v>
      </c>
      <c r="AE19" s="366">
        <v>9000</v>
      </c>
      <c r="AF19" s="364">
        <v>9000</v>
      </c>
      <c r="AG19" s="77">
        <f t="shared" si="3"/>
        <v>27000</v>
      </c>
      <c r="AH19" s="365">
        <v>9000</v>
      </c>
      <c r="AI19" s="366">
        <v>9000</v>
      </c>
      <c r="AJ19" s="364">
        <v>5994.92846000001</v>
      </c>
      <c r="AK19" s="77">
        <f t="shared" si="4"/>
        <v>23994.92846000001</v>
      </c>
      <c r="AL19" s="236">
        <f t="shared" si="5"/>
        <v>87884.92846000001</v>
      </c>
      <c r="AM19" s="149">
        <f t="shared" si="6"/>
        <v>18890</v>
      </c>
      <c r="AN19" s="87">
        <f t="shared" si="15"/>
        <v>-5.449999999999818</v>
      </c>
    </row>
    <row r="20" spans="1:40" s="10" customFormat="1" ht="23.25" customHeight="1">
      <c r="A20" s="64"/>
      <c r="B20" s="126" t="s">
        <v>12</v>
      </c>
      <c r="C20" s="48">
        <v>185230</v>
      </c>
      <c r="D20" s="48">
        <f aca="true" t="shared" si="16" ref="D20:AN20">SUM(D11:D19)</f>
        <v>14747.07</v>
      </c>
      <c r="E20" s="48">
        <f t="shared" si="16"/>
        <v>13560</v>
      </c>
      <c r="F20" s="48">
        <f t="shared" si="16"/>
        <v>1187.0700000000002</v>
      </c>
      <c r="G20" s="48">
        <f t="shared" si="16"/>
        <v>0</v>
      </c>
      <c r="H20" s="48">
        <f t="shared" si="16"/>
        <v>14703.45</v>
      </c>
      <c r="I20" s="48">
        <f t="shared" si="16"/>
        <v>0</v>
      </c>
      <c r="J20" s="48">
        <f t="shared" si="16"/>
        <v>14703.45</v>
      </c>
      <c r="K20" s="48">
        <f t="shared" si="16"/>
        <v>11610</v>
      </c>
      <c r="L20" s="48">
        <f t="shared" si="16"/>
        <v>3093.45</v>
      </c>
      <c r="M20" s="48">
        <f t="shared" si="16"/>
        <v>0</v>
      </c>
      <c r="N20" s="48">
        <f t="shared" si="16"/>
        <v>14703.45</v>
      </c>
      <c r="O20" s="48">
        <f t="shared" si="16"/>
        <v>0</v>
      </c>
      <c r="P20" s="48">
        <f t="shared" si="16"/>
        <v>14703.45</v>
      </c>
      <c r="Q20" s="48">
        <f t="shared" si="16"/>
        <v>13725</v>
      </c>
      <c r="R20" s="48">
        <f t="shared" si="16"/>
        <v>978.4499999999997</v>
      </c>
      <c r="S20" s="48">
        <f t="shared" si="16"/>
        <v>38895</v>
      </c>
      <c r="T20" s="141">
        <f t="shared" si="16"/>
        <v>14851.98</v>
      </c>
      <c r="U20" s="141">
        <f aca="true" t="shared" si="17" ref="U20:AC20">SUM(U11:U19)</f>
        <v>12640</v>
      </c>
      <c r="V20" s="141">
        <f t="shared" si="17"/>
        <v>2211.9799999999996</v>
      </c>
      <c r="W20" s="348">
        <f>SUM(W11:W19)</f>
        <v>0</v>
      </c>
      <c r="X20" s="348">
        <f>SUM(X11:X19)</f>
        <v>0</v>
      </c>
      <c r="Y20" s="348">
        <f t="shared" si="17"/>
        <v>134357.2</v>
      </c>
      <c r="Z20" s="348">
        <f t="shared" si="17"/>
        <v>17500</v>
      </c>
      <c r="AA20" s="367">
        <f t="shared" si="17"/>
        <v>17500</v>
      </c>
      <c r="AB20" s="382">
        <f t="shared" si="17"/>
        <v>17500</v>
      </c>
      <c r="AC20" s="348">
        <f t="shared" si="17"/>
        <v>47640</v>
      </c>
      <c r="AD20" s="348">
        <f aca="true" t="shared" si="18" ref="AD20:AK20">SUM(AD11:AD19)</f>
        <v>18220</v>
      </c>
      <c r="AE20" s="348">
        <f t="shared" si="18"/>
        <v>18220</v>
      </c>
      <c r="AF20" s="348">
        <f t="shared" si="18"/>
        <v>18220</v>
      </c>
      <c r="AG20" s="348">
        <f t="shared" si="18"/>
        <v>54660</v>
      </c>
      <c r="AH20" s="348">
        <f t="shared" si="18"/>
        <v>18420</v>
      </c>
      <c r="AI20" s="348">
        <f t="shared" si="18"/>
        <v>17962.612268</v>
      </c>
      <c r="AJ20" s="348">
        <f t="shared" si="18"/>
        <v>8314.581441920014</v>
      </c>
      <c r="AK20" s="367">
        <f t="shared" si="18"/>
        <v>44697.193709920015</v>
      </c>
      <c r="AL20" s="319">
        <f t="shared" si="16"/>
        <v>185892.19370992001</v>
      </c>
      <c r="AM20" s="237">
        <f t="shared" si="16"/>
        <v>51535</v>
      </c>
      <c r="AN20" s="48">
        <f t="shared" si="16"/>
        <v>-2211.9799999999996</v>
      </c>
    </row>
    <row r="21" spans="1:40" s="10" customFormat="1" ht="20.25" customHeight="1" thickBot="1">
      <c r="A21" s="65"/>
      <c r="B21" s="127" t="s">
        <v>43</v>
      </c>
      <c r="C21" s="49">
        <v>3290376</v>
      </c>
      <c r="D21" s="49">
        <f aca="true" t="shared" si="19" ref="D21:AN21">D10+D20</f>
        <v>200020.08000000002</v>
      </c>
      <c r="E21" s="49">
        <f t="shared" si="19"/>
        <v>257247</v>
      </c>
      <c r="F21" s="151">
        <f t="shared" si="19"/>
        <v>5312.620000000003</v>
      </c>
      <c r="G21" s="49">
        <f t="shared" si="19"/>
        <v>173459</v>
      </c>
      <c r="H21" s="49">
        <f t="shared" si="19"/>
        <v>195979.92</v>
      </c>
      <c r="I21" s="151">
        <f t="shared" si="19"/>
        <v>5312.620000000002</v>
      </c>
      <c r="J21" s="49">
        <f t="shared" si="19"/>
        <v>203238.79</v>
      </c>
      <c r="K21" s="49">
        <f t="shared" si="19"/>
        <v>245921</v>
      </c>
      <c r="L21" s="151">
        <f t="shared" si="19"/>
        <v>3103.814863649889</v>
      </c>
      <c r="M21" s="49">
        <f t="shared" si="19"/>
        <v>170588</v>
      </c>
      <c r="N21" s="49">
        <f t="shared" si="19"/>
        <v>196053.75000000003</v>
      </c>
      <c r="O21" s="151">
        <f t="shared" si="19"/>
        <v>3103.8148636498895</v>
      </c>
      <c r="P21" s="49">
        <f t="shared" si="19"/>
        <v>199186.6248636499</v>
      </c>
      <c r="Q21" s="49">
        <f t="shared" si="19"/>
        <v>367879</v>
      </c>
      <c r="R21" s="151">
        <f t="shared" si="19"/>
        <v>984.321827562543</v>
      </c>
      <c r="S21" s="49">
        <f t="shared" si="19"/>
        <v>374780</v>
      </c>
      <c r="T21" s="142">
        <f t="shared" si="19"/>
        <v>201948.6</v>
      </c>
      <c r="U21" s="142">
        <f aca="true" t="shared" si="20" ref="U21:AC21">U10+U20</f>
        <v>193008</v>
      </c>
      <c r="V21" s="205">
        <f t="shared" si="20"/>
        <v>15540.600000000002</v>
      </c>
      <c r="W21" s="349">
        <f>W10+W20</f>
        <v>119625.25</v>
      </c>
      <c r="X21" s="388">
        <f>X10+X20</f>
        <v>16524.921827562546</v>
      </c>
      <c r="Y21" s="349">
        <f t="shared" si="20"/>
        <v>1282400</v>
      </c>
      <c r="Z21" s="349">
        <f t="shared" si="20"/>
        <v>193522.34000000003</v>
      </c>
      <c r="AA21" s="368">
        <f t="shared" si="20"/>
        <v>210047.26182756253</v>
      </c>
      <c r="AB21" s="383">
        <f t="shared" si="20"/>
        <v>195500</v>
      </c>
      <c r="AC21" s="349">
        <f t="shared" si="20"/>
        <v>598555.2618275625</v>
      </c>
      <c r="AD21" s="349">
        <f aca="true" t="shared" si="21" ref="AD21:AK21">AD10+AD20</f>
        <v>196220</v>
      </c>
      <c r="AE21" s="349">
        <f t="shared" si="21"/>
        <v>196220</v>
      </c>
      <c r="AF21" s="349">
        <f t="shared" si="21"/>
        <v>196220</v>
      </c>
      <c r="AG21" s="349">
        <f t="shared" si="21"/>
        <v>588660</v>
      </c>
      <c r="AH21" s="349">
        <f t="shared" si="21"/>
        <v>197043</v>
      </c>
      <c r="AI21" s="349">
        <f t="shared" si="21"/>
        <v>97382.41502272003</v>
      </c>
      <c r="AJ21" s="349">
        <f t="shared" si="21"/>
        <v>8314.58453192003</v>
      </c>
      <c r="AK21" s="368">
        <f t="shared" si="21"/>
        <v>302739.99955464003</v>
      </c>
      <c r="AL21" s="143">
        <f t="shared" si="19"/>
        <v>2361002.2613822026</v>
      </c>
      <c r="AM21" s="143">
        <f t="shared" si="19"/>
        <v>1064055</v>
      </c>
      <c r="AN21" s="49">
        <f t="shared" si="19"/>
        <v>984.3218275625422</v>
      </c>
    </row>
    <row r="22" spans="1:88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73" t="s">
        <v>73</v>
      </c>
      <c r="K22" s="274">
        <f>-(L6+L7+L9)</f>
        <v>45786.02486364989</v>
      </c>
      <c r="L22" s="131" t="s">
        <v>34</v>
      </c>
      <c r="M22" s="297">
        <f>L21*100/M21</f>
        <v>1.8194801883191603</v>
      </c>
      <c r="N22" s="257"/>
      <c r="O22" s="257"/>
      <c r="P22" s="257"/>
      <c r="Q22" s="258"/>
      <c r="R22" s="259">
        <f>16871.57+152600+205.12</f>
        <v>169676.69</v>
      </c>
      <c r="S22" s="324" t="s">
        <v>90</v>
      </c>
      <c r="T22" s="323">
        <f>R21</f>
        <v>984.321827562543</v>
      </c>
      <c r="U22" s="273" t="s">
        <v>73</v>
      </c>
      <c r="V22" s="351">
        <f>-(V7)</f>
        <v>6600</v>
      </c>
      <c r="W22" s="356"/>
      <c r="X22" s="356"/>
      <c r="Y22" s="32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</row>
    <row r="23" spans="2:39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7"/>
      <c r="N23" s="578"/>
      <c r="O23" s="266"/>
      <c r="P23" s="266"/>
      <c r="Q23" s="253">
        <f>N22+R21</f>
        <v>984.321827562543</v>
      </c>
      <c r="R23" s="192" t="s">
        <v>34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229" t="e">
        <f>#REF!+#REF!+#REF!</f>
        <v>#REF!</v>
      </c>
      <c r="AM23" s="80"/>
    </row>
    <row r="24" spans="2:39" s="100" customFormat="1" ht="33" customHeight="1" thickBot="1">
      <c r="B24" s="117"/>
      <c r="C24" s="94"/>
      <c r="D24" s="36"/>
      <c r="E24" s="88"/>
      <c r="F24" s="36"/>
      <c r="G24" s="36"/>
      <c r="H24" s="94"/>
      <c r="I24" s="94"/>
      <c r="J24" s="41"/>
      <c r="K24" s="579"/>
      <c r="L24" s="580"/>
      <c r="M24" s="296"/>
      <c r="N24" s="94"/>
      <c r="O24" s="94"/>
      <c r="P24" s="94"/>
      <c r="Q24" s="94"/>
      <c r="R24" s="94"/>
      <c r="S24" s="89"/>
      <c r="T24" s="581" t="s">
        <v>107</v>
      </c>
      <c r="U24" s="582"/>
      <c r="V24" s="190">
        <f>R21+V21</f>
        <v>16524.921827562546</v>
      </c>
      <c r="W24" s="374" t="s">
        <v>124</v>
      </c>
      <c r="X24" s="387">
        <f>V24*100/W21</f>
        <v>13.813907872763105</v>
      </c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8"/>
      <c r="AM24" s="36"/>
    </row>
    <row r="25" spans="2:39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94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8"/>
      <c r="AM25" s="36"/>
    </row>
    <row r="26" spans="2:39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8"/>
      <c r="AM26" s="36"/>
    </row>
    <row r="27" spans="2:39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9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20"/>
      <c r="AM27" s="121"/>
    </row>
    <row r="28" spans="2:39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8"/>
    </row>
    <row r="29" spans="2:39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53"/>
      <c r="AM29" s="108"/>
    </row>
    <row r="30" spans="2:39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94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103"/>
      <c r="AM30" s="108"/>
    </row>
    <row r="31" spans="2:39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8"/>
      <c r="AM31" s="36"/>
    </row>
    <row r="32" spans="2:39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8"/>
      <c r="AM32" s="36"/>
    </row>
    <row r="33" spans="2:39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8"/>
      <c r="AM33" s="36"/>
    </row>
    <row r="34" spans="2:39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8"/>
      <c r="AM34" s="36"/>
    </row>
    <row r="35" spans="2:39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8"/>
      <c r="AM35" s="36"/>
    </row>
    <row r="36" spans="2:39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8"/>
      <c r="AM36" s="36"/>
    </row>
    <row r="37" spans="2:39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8"/>
      <c r="AM37" s="36"/>
    </row>
    <row r="38" spans="2:39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8"/>
      <c r="AM38" s="36"/>
    </row>
    <row r="39" spans="2:39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8"/>
      <c r="AM39" s="36"/>
    </row>
    <row r="40" spans="2:39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8"/>
      <c r="AM40" s="36"/>
    </row>
    <row r="41" spans="2:39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8"/>
      <c r="AM41" s="36"/>
    </row>
    <row r="42" spans="2:39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8"/>
      <c r="AM42" s="36"/>
    </row>
    <row r="43" spans="2:39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8"/>
      <c r="AM43" s="36"/>
    </row>
    <row r="44" spans="2:39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8"/>
      <c r="AM44" s="36"/>
    </row>
    <row r="45" spans="2:39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8"/>
      <c r="AM45" s="36"/>
    </row>
    <row r="46" spans="2:39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8"/>
      <c r="AM46" s="36"/>
    </row>
    <row r="47" spans="2:39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8"/>
      <c r="AM47" s="36"/>
    </row>
    <row r="48" spans="2:39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8"/>
      <c r="AM48" s="36"/>
    </row>
    <row r="49" spans="2:39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8"/>
      <c r="AM49" s="36"/>
    </row>
    <row r="50" spans="2:39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8"/>
      <c r="AM50" s="36"/>
    </row>
    <row r="51" spans="2:39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8"/>
      <c r="AM51" s="36"/>
    </row>
    <row r="52" spans="2:39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8"/>
      <c r="AM52" s="36"/>
    </row>
    <row r="53" spans="2:39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8"/>
      <c r="AM53" s="36"/>
    </row>
    <row r="54" spans="2:39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8"/>
      <c r="AM54" s="36"/>
    </row>
    <row r="55" spans="2:39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8"/>
      <c r="AM55" s="36"/>
    </row>
    <row r="56" spans="2:39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8"/>
      <c r="AM56" s="36"/>
    </row>
    <row r="57" spans="2:39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8"/>
      <c r="AM57" s="36"/>
    </row>
    <row r="58" spans="2:39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8"/>
      <c r="AM58" s="36"/>
    </row>
    <row r="59" spans="2:39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8"/>
      <c r="AM59" s="36"/>
    </row>
    <row r="60" spans="2:39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8"/>
      <c r="AM60" s="36"/>
    </row>
    <row r="61" spans="2:39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8"/>
      <c r="AM61" s="36"/>
    </row>
    <row r="62" spans="2:39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8"/>
      <c r="AM62" s="36"/>
    </row>
    <row r="63" spans="2:39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8"/>
      <c r="AM63" s="36"/>
    </row>
    <row r="64" spans="2:39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8"/>
      <c r="AM64" s="36"/>
    </row>
    <row r="65" spans="2:39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8"/>
      <c r="AM65" s="36"/>
    </row>
    <row r="66" spans="2:39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8"/>
      <c r="AM66" s="36"/>
    </row>
    <row r="67" spans="2:39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8"/>
      <c r="AM67" s="36"/>
    </row>
    <row r="68" spans="2:39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8"/>
      <c r="AM68" s="36"/>
    </row>
    <row r="69" spans="2:39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8"/>
      <c r="AM69" s="36"/>
    </row>
  </sheetData>
  <sheetProtection/>
  <mergeCells count="3">
    <mergeCell ref="L23:N23"/>
    <mergeCell ref="K24:L24"/>
    <mergeCell ref="T24:U24"/>
  </mergeCells>
  <printOptions/>
  <pageMargins left="0.16" right="0.16" top="0.27" bottom="0.21" header="0.17" footer="0.17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G30"/>
  <sheetViews>
    <sheetView workbookViewId="0" topLeftCell="T4">
      <pane ySplit="1230" topLeftCell="BM10" activePane="bottomLeft" state="split"/>
      <selection pane="topLeft" activeCell="AL4" sqref="AL4"/>
      <selection pane="bottomLeft" activeCell="T21" sqref="T21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2.125" style="26" bestFit="1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customWidth="1"/>
    <col min="19" max="19" width="10.00390625" style="28" customWidth="1"/>
    <col min="20" max="20" width="8.125" style="28" customWidth="1"/>
    <col min="21" max="22" width="9.125" style="28" customWidth="1"/>
    <col min="23" max="23" width="10.375" style="28" customWidth="1"/>
    <col min="24" max="24" width="9.125" style="28" bestFit="1" customWidth="1"/>
    <col min="25" max="25" width="9.125" style="28" customWidth="1"/>
    <col min="26" max="26" width="9.125" style="28" bestFit="1" customWidth="1"/>
    <col min="27" max="27" width="8.75390625" style="28" customWidth="1"/>
    <col min="28" max="28" width="8.625" style="28" customWidth="1"/>
    <col min="29" max="30" width="8.625" style="28" hidden="1" customWidth="1"/>
    <col min="31" max="31" width="8.875" style="28" hidden="1" customWidth="1"/>
    <col min="32" max="35" width="8.625" style="28" hidden="1" customWidth="1"/>
    <col min="36" max="36" width="10.375" style="105" customWidth="1"/>
    <col min="37" max="37" width="10.375" style="1" bestFit="1" customWidth="1"/>
    <col min="38" max="38" width="9.25390625" style="1" bestFit="1" customWidth="1"/>
    <col min="39" max="16384" width="9.00390625" style="1" customWidth="1"/>
  </cols>
  <sheetData>
    <row r="1" spans="1:37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105"/>
      <c r="AK1" s="139" t="s">
        <v>35</v>
      </c>
    </row>
    <row r="2" ht="10.5" customHeight="1">
      <c r="A2" s="8"/>
    </row>
    <row r="3" spans="1:36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156"/>
    </row>
    <row r="4" spans="1:38" s="9" customFormat="1" ht="45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11" t="s">
        <v>89</v>
      </c>
      <c r="AA4" s="357" t="s">
        <v>87</v>
      </c>
      <c r="AB4" s="358" t="s">
        <v>99</v>
      </c>
      <c r="AC4" s="358" t="s">
        <v>98</v>
      </c>
      <c r="AD4" s="358" t="s">
        <v>100</v>
      </c>
      <c r="AE4" s="357" t="s">
        <v>101</v>
      </c>
      <c r="AF4" s="358" t="s">
        <v>102</v>
      </c>
      <c r="AG4" s="358" t="s">
        <v>103</v>
      </c>
      <c r="AH4" s="358" t="s">
        <v>104</v>
      </c>
      <c r="AI4" s="357" t="s">
        <v>105</v>
      </c>
      <c r="AJ4" s="225" t="s">
        <v>59</v>
      </c>
      <c r="AK4" s="219" t="s">
        <v>55</v>
      </c>
      <c r="AL4" s="96" t="s">
        <v>126</v>
      </c>
    </row>
    <row r="5" spans="1:38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</f>
        <v>43559.31746586201</v>
      </c>
      <c r="Z5" s="345">
        <v>48000</v>
      </c>
      <c r="AA5" s="359">
        <f>S5+Y5+Z5</f>
        <v>145211.417465862</v>
      </c>
      <c r="AB5" s="345">
        <v>48000</v>
      </c>
      <c r="AC5" s="345">
        <v>48000</v>
      </c>
      <c r="AD5" s="345">
        <v>48000</v>
      </c>
      <c r="AE5" s="359">
        <f>AB5+AC5+AD5</f>
        <v>144000</v>
      </c>
      <c r="AF5" s="345">
        <v>48000</v>
      </c>
      <c r="AG5" s="345">
        <v>31516.14</v>
      </c>
      <c r="AH5" s="345">
        <v>0</v>
      </c>
      <c r="AI5" s="359">
        <f>AF5+AG5+AH5</f>
        <v>79516.14</v>
      </c>
      <c r="AJ5" s="133">
        <f>Q5+AA5+AE5+AI5</f>
        <v>516137.177465862</v>
      </c>
      <c r="AK5" s="90">
        <f>Q5+S5</f>
        <v>201061.72</v>
      </c>
      <c r="AL5" s="264">
        <f>V5</f>
        <v>192.4474658620065</v>
      </c>
    </row>
    <row r="6" spans="1:38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aca="true" t="shared" si="4" ref="T6:T11">R6-S6</f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</f>
        <v>35000</v>
      </c>
      <c r="Z6" s="345">
        <v>35000</v>
      </c>
      <c r="AA6" s="359">
        <f>S6+Y6+Z6</f>
        <v>105753.70999999999</v>
      </c>
      <c r="AB6" s="345">
        <v>35000</v>
      </c>
      <c r="AC6" s="345">
        <v>35000</v>
      </c>
      <c r="AD6" s="345">
        <v>35000</v>
      </c>
      <c r="AE6" s="359">
        <f>AB6+AC6+AD6</f>
        <v>105000</v>
      </c>
      <c r="AF6" s="345">
        <v>35000</v>
      </c>
      <c r="AG6" s="345">
        <v>23683.13</v>
      </c>
      <c r="AH6" s="345">
        <v>0</v>
      </c>
      <c r="AI6" s="359">
        <f>AF6+AG6+AH6</f>
        <v>58683.130000000005</v>
      </c>
      <c r="AJ6" s="133">
        <f>Q6+AA6+AE6+AI6</f>
        <v>376223.16000000003</v>
      </c>
      <c r="AK6" s="90">
        <f>Q6+S6</f>
        <v>142540.03</v>
      </c>
      <c r="AL6" s="265">
        <f>V6-T6</f>
        <v>-982.2099999999991</v>
      </c>
    </row>
    <row r="7" spans="1:38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 aca="true" t="shared" si="5" ref="Y7:Y13">V7+X7</f>
        <v>23359.50535849648</v>
      </c>
      <c r="Z7" s="345">
        <v>26000</v>
      </c>
      <c r="AA7" s="359">
        <f aca="true" t="shared" si="6" ref="AA7:AA13">S7+Y7+Z7</f>
        <v>78691.33535849648</v>
      </c>
      <c r="AB7" s="345">
        <v>26000</v>
      </c>
      <c r="AC7" s="345">
        <v>26000</v>
      </c>
      <c r="AD7" s="345">
        <v>26000</v>
      </c>
      <c r="AE7" s="359">
        <f aca="true" t="shared" si="7" ref="AE7:AE13">AB7+AC7+AD7</f>
        <v>78000</v>
      </c>
      <c r="AF7" s="345">
        <v>26000</v>
      </c>
      <c r="AG7" s="345">
        <v>18759.34</v>
      </c>
      <c r="AH7" s="345">
        <v>0</v>
      </c>
      <c r="AI7" s="359">
        <f aca="true" t="shared" si="8" ref="AI7:AI13">AF7+AG7+AH7</f>
        <v>44759.34</v>
      </c>
      <c r="AJ7" s="133">
        <f aca="true" t="shared" si="9" ref="AJ7:AJ13">Q7+AA7+AE7+AI7</f>
        <v>290400.2253584965</v>
      </c>
      <c r="AK7" s="90">
        <f aca="true" t="shared" si="10" ref="AK7:AK13">Q7+S7</f>
        <v>118281.38</v>
      </c>
      <c r="AL7" s="265">
        <f>V7</f>
        <v>112.57535849648009</v>
      </c>
    </row>
    <row r="8" spans="1:38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 t="shared" si="5"/>
        <v>28207.00954180121</v>
      </c>
      <c r="Z8" s="345">
        <v>28000</v>
      </c>
      <c r="AA8" s="359">
        <f t="shared" si="6"/>
        <v>95499.43954180121</v>
      </c>
      <c r="AB8" s="345">
        <v>28000</v>
      </c>
      <c r="AC8" s="345">
        <v>28000</v>
      </c>
      <c r="AD8" s="345">
        <v>28000</v>
      </c>
      <c r="AE8" s="359">
        <f t="shared" si="7"/>
        <v>84000</v>
      </c>
      <c r="AF8" s="345">
        <v>28000</v>
      </c>
      <c r="AG8" s="345">
        <v>17025.58</v>
      </c>
      <c r="AH8" s="345">
        <v>0</v>
      </c>
      <c r="AI8" s="359">
        <f t="shared" si="8"/>
        <v>45025.58</v>
      </c>
      <c r="AJ8" s="133">
        <f t="shared" si="9"/>
        <v>431671.71954180126</v>
      </c>
      <c r="AK8" s="90">
        <f t="shared" si="10"/>
        <v>246439.13</v>
      </c>
      <c r="AL8" s="265">
        <f>V8</f>
        <v>207.00954180120792</v>
      </c>
    </row>
    <row r="9" spans="1:38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 t="shared" si="5"/>
        <v>58558.37433104841</v>
      </c>
      <c r="Z9" s="345">
        <v>68000</v>
      </c>
      <c r="AA9" s="359">
        <f t="shared" si="6"/>
        <v>206148.1043310484</v>
      </c>
      <c r="AB9" s="345">
        <v>68000</v>
      </c>
      <c r="AC9" s="345">
        <v>68000</v>
      </c>
      <c r="AD9" s="345">
        <v>68000</v>
      </c>
      <c r="AE9" s="359">
        <f t="shared" si="7"/>
        <v>204000</v>
      </c>
      <c r="AF9" s="345">
        <v>68000</v>
      </c>
      <c r="AG9" s="345">
        <v>12667.05</v>
      </c>
      <c r="AH9" s="345">
        <v>0</v>
      </c>
      <c r="AI9" s="359">
        <f t="shared" si="8"/>
        <v>80667.05</v>
      </c>
      <c r="AJ9" s="133">
        <f t="shared" si="9"/>
        <v>742477.1543310485</v>
      </c>
      <c r="AK9" s="90">
        <f t="shared" si="10"/>
        <v>331251.73</v>
      </c>
      <c r="AL9" s="265">
        <f>V9</f>
        <v>286.194331048411</v>
      </c>
    </row>
    <row r="10" spans="1:38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 t="shared" si="5"/>
        <v>25051.761792187688</v>
      </c>
      <c r="Z10" s="345">
        <v>25000</v>
      </c>
      <c r="AA10" s="359">
        <f t="shared" si="6"/>
        <v>76703.69179218769</v>
      </c>
      <c r="AB10" s="345">
        <v>25000</v>
      </c>
      <c r="AC10" s="345">
        <v>25000</v>
      </c>
      <c r="AD10" s="345">
        <v>25000</v>
      </c>
      <c r="AE10" s="359">
        <f t="shared" si="7"/>
        <v>75000</v>
      </c>
      <c r="AF10" s="345">
        <v>20000</v>
      </c>
      <c r="AG10" s="345">
        <v>10828.19</v>
      </c>
      <c r="AH10" s="345">
        <v>0</v>
      </c>
      <c r="AI10" s="359">
        <f t="shared" si="8"/>
        <v>30828.190000000002</v>
      </c>
      <c r="AJ10" s="133">
        <f t="shared" si="9"/>
        <v>263288.7417921877</v>
      </c>
      <c r="AK10" s="90">
        <f t="shared" si="10"/>
        <v>107408.79000000001</v>
      </c>
      <c r="AL10" s="265">
        <f>V10</f>
        <v>51.76179218768939</v>
      </c>
    </row>
    <row r="11" spans="1:38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 t="shared" si="5"/>
        <v>52071.89151060421</v>
      </c>
      <c r="Z11" s="345">
        <v>57000</v>
      </c>
      <c r="AA11" s="359">
        <f t="shared" si="6"/>
        <v>171503.8415106042</v>
      </c>
      <c r="AB11" s="345">
        <v>58780</v>
      </c>
      <c r="AC11" s="345">
        <v>58780</v>
      </c>
      <c r="AD11" s="345">
        <v>58780</v>
      </c>
      <c r="AE11" s="359">
        <f t="shared" si="7"/>
        <v>176340</v>
      </c>
      <c r="AF11" s="345">
        <v>55000</v>
      </c>
      <c r="AG11" s="345">
        <v>11780.57</v>
      </c>
      <c r="AH11" s="345">
        <v>0</v>
      </c>
      <c r="AI11" s="359">
        <f t="shared" si="8"/>
        <v>66780.57</v>
      </c>
      <c r="AJ11" s="133">
        <f t="shared" si="9"/>
        <v>583449.3215106041</v>
      </c>
      <c r="AK11" s="90">
        <f t="shared" si="10"/>
        <v>231256.86</v>
      </c>
      <c r="AL11" s="265">
        <f>V11</f>
        <v>213.95151060420736</v>
      </c>
    </row>
    <row r="12" spans="1:38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1" ref="G12:M12">SUM(G5:G11)</f>
        <v>205261.1030769231</v>
      </c>
      <c r="H12" s="44">
        <f t="shared" si="11"/>
        <v>272549.07</v>
      </c>
      <c r="I12" s="44">
        <f t="shared" si="11"/>
        <v>5477.89</v>
      </c>
      <c r="J12" s="44">
        <f t="shared" si="11"/>
        <v>289870.7</v>
      </c>
      <c r="K12" s="44">
        <f t="shared" si="11"/>
        <v>341957.91000000003</v>
      </c>
      <c r="L12" s="44">
        <f t="shared" si="11"/>
        <v>-52087.210000000014</v>
      </c>
      <c r="M12" s="44">
        <f t="shared" si="11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Q5</f>
        <v>147409.62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12" ref="U12:Z12">SUM(U5:U11)</f>
        <v>268091.919375</v>
      </c>
      <c r="V12" s="44">
        <f t="shared" si="12"/>
        <v>1063.9400000000023</v>
      </c>
      <c r="W12" s="44">
        <f t="shared" si="12"/>
        <v>1846600</v>
      </c>
      <c r="X12" s="346">
        <f t="shared" si="12"/>
        <v>264743.92</v>
      </c>
      <c r="Y12" s="346">
        <f t="shared" si="12"/>
        <v>265807.86</v>
      </c>
      <c r="Z12" s="346">
        <f t="shared" si="12"/>
        <v>287000</v>
      </c>
      <c r="AA12" s="44">
        <f aca="true" t="shared" si="13" ref="AA12:AK12">SUM(AA5:AA11)</f>
        <v>879511.54</v>
      </c>
      <c r="AB12" s="44">
        <f t="shared" si="13"/>
        <v>288780</v>
      </c>
      <c r="AC12" s="44">
        <f t="shared" si="13"/>
        <v>288780</v>
      </c>
      <c r="AD12" s="44">
        <f t="shared" si="13"/>
        <v>288780</v>
      </c>
      <c r="AE12" s="44">
        <f t="shared" si="13"/>
        <v>866340</v>
      </c>
      <c r="AF12" s="44">
        <f t="shared" si="13"/>
        <v>280000</v>
      </c>
      <c r="AG12" s="44">
        <f t="shared" si="13"/>
        <v>126260</v>
      </c>
      <c r="AH12" s="44">
        <f t="shared" si="13"/>
        <v>0</v>
      </c>
      <c r="AI12" s="44">
        <f t="shared" si="13"/>
        <v>406260</v>
      </c>
      <c r="AJ12" s="44">
        <f t="shared" si="13"/>
        <v>3203647.5</v>
      </c>
      <c r="AK12" s="44">
        <f t="shared" si="13"/>
        <v>1378239.6400000001</v>
      </c>
      <c r="AL12" s="228">
        <f>SUM(AL5:AL11)</f>
        <v>81.7300000000032</v>
      </c>
    </row>
    <row r="13" spans="1:38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 t="shared" si="5"/>
        <v>10000</v>
      </c>
      <c r="Z13" s="345">
        <v>10000</v>
      </c>
      <c r="AA13" s="359">
        <f t="shared" si="6"/>
        <v>29920</v>
      </c>
      <c r="AB13" s="345">
        <v>10000</v>
      </c>
      <c r="AC13" s="345">
        <v>10000</v>
      </c>
      <c r="AD13" s="345">
        <v>10000</v>
      </c>
      <c r="AE13" s="359">
        <f t="shared" si="7"/>
        <v>30000</v>
      </c>
      <c r="AF13" s="345">
        <v>10000</v>
      </c>
      <c r="AG13" s="345">
        <v>10000</v>
      </c>
      <c r="AH13" s="345">
        <v>7000</v>
      </c>
      <c r="AI13" s="359">
        <f t="shared" si="8"/>
        <v>27000</v>
      </c>
      <c r="AJ13" s="133">
        <f t="shared" si="9"/>
        <v>130850</v>
      </c>
      <c r="AK13" s="90">
        <f t="shared" si="10"/>
        <v>53850</v>
      </c>
      <c r="AL13" s="265">
        <f>V13-T13</f>
        <v>-80</v>
      </c>
    </row>
    <row r="14" spans="1:38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14" ref="G14:M14">SUM(G13:G13)</f>
        <v>0</v>
      </c>
      <c r="H14" s="50">
        <f t="shared" si="14"/>
        <v>10000</v>
      </c>
      <c r="I14" s="50">
        <f t="shared" si="14"/>
        <v>0</v>
      </c>
      <c r="J14" s="50">
        <f t="shared" si="14"/>
        <v>10000</v>
      </c>
      <c r="K14" s="50">
        <f t="shared" si="14"/>
        <v>15600</v>
      </c>
      <c r="L14" s="50">
        <f t="shared" si="14"/>
        <v>-5600</v>
      </c>
      <c r="M14" s="50">
        <f t="shared" si="14"/>
        <v>10000</v>
      </c>
      <c r="N14" s="50"/>
      <c r="O14" s="50">
        <f>SUM(O13:O13)</f>
        <v>15960</v>
      </c>
      <c r="P14" s="50">
        <v>0</v>
      </c>
      <c r="Q14" s="187">
        <f aca="true" t="shared" si="15" ref="Q14:AA14">SUM(Q13:Q13)</f>
        <v>43930</v>
      </c>
      <c r="R14" s="187">
        <f t="shared" si="15"/>
        <v>10000</v>
      </c>
      <c r="S14" s="187">
        <f t="shared" si="15"/>
        <v>9920</v>
      </c>
      <c r="T14" s="187">
        <f t="shared" si="15"/>
        <v>80</v>
      </c>
      <c r="U14" s="50">
        <f t="shared" si="15"/>
        <v>0</v>
      </c>
      <c r="V14" s="50">
        <f t="shared" si="15"/>
        <v>0</v>
      </c>
      <c r="W14" s="50">
        <f t="shared" si="15"/>
        <v>77000</v>
      </c>
      <c r="X14" s="50">
        <f t="shared" si="15"/>
        <v>10000</v>
      </c>
      <c r="Y14" s="50">
        <f t="shared" si="15"/>
        <v>10000</v>
      </c>
      <c r="Z14" s="50">
        <f t="shared" si="15"/>
        <v>10000</v>
      </c>
      <c r="AA14" s="50">
        <f t="shared" si="15"/>
        <v>29920</v>
      </c>
      <c r="AB14" s="50">
        <f aca="true" t="shared" si="16" ref="AB14:AL14">SUM(AB13:AB13)</f>
        <v>10000</v>
      </c>
      <c r="AC14" s="50">
        <f t="shared" si="16"/>
        <v>10000</v>
      </c>
      <c r="AD14" s="50">
        <f t="shared" si="16"/>
        <v>10000</v>
      </c>
      <c r="AE14" s="50">
        <f t="shared" si="16"/>
        <v>30000</v>
      </c>
      <c r="AF14" s="50">
        <f t="shared" si="16"/>
        <v>10000</v>
      </c>
      <c r="AG14" s="50">
        <f t="shared" si="16"/>
        <v>10000</v>
      </c>
      <c r="AH14" s="50">
        <f t="shared" si="16"/>
        <v>7000</v>
      </c>
      <c r="AI14" s="50">
        <f t="shared" si="16"/>
        <v>27000</v>
      </c>
      <c r="AJ14" s="50">
        <f t="shared" si="16"/>
        <v>130850</v>
      </c>
      <c r="AK14" s="50">
        <f t="shared" si="16"/>
        <v>53850</v>
      </c>
      <c r="AL14" s="50">
        <f t="shared" si="16"/>
        <v>-80</v>
      </c>
    </row>
    <row r="15" spans="1:38" s="168" customFormat="1" ht="28.5" customHeight="1" thickBot="1">
      <c r="A15" s="166"/>
      <c r="B15" s="167" t="s">
        <v>4</v>
      </c>
      <c r="C15" s="106">
        <v>3643654.47</v>
      </c>
      <c r="D15" s="43">
        <f aca="true" t="shared" si="17" ref="D15:M15">D12+D14</f>
        <v>311450.93</v>
      </c>
      <c r="E15" s="43">
        <f t="shared" si="17"/>
        <v>346131.38999999996</v>
      </c>
      <c r="F15" s="35">
        <f t="shared" si="17"/>
        <v>5477.889999999999</v>
      </c>
      <c r="G15" s="43">
        <f t="shared" si="17"/>
        <v>205261.1030769231</v>
      </c>
      <c r="H15" s="43">
        <f t="shared" si="17"/>
        <v>282549.07</v>
      </c>
      <c r="I15" s="35">
        <f t="shared" si="17"/>
        <v>5477.89</v>
      </c>
      <c r="J15" s="43">
        <f t="shared" si="17"/>
        <v>299870.7</v>
      </c>
      <c r="K15" s="43">
        <f t="shared" si="17"/>
        <v>357557.91000000003</v>
      </c>
      <c r="L15" s="267">
        <f t="shared" si="17"/>
        <v>-57687.210000000014</v>
      </c>
      <c r="M15" s="43">
        <f t="shared" si="17"/>
        <v>288556.69</v>
      </c>
      <c r="N15" s="43"/>
      <c r="O15" s="43">
        <f aca="true" t="shared" si="18" ref="O15:AA15">O12+O14</f>
        <v>391776.66000000003</v>
      </c>
      <c r="P15" s="140">
        <f t="shared" si="18"/>
        <v>1.7300000000032014</v>
      </c>
      <c r="Q15" s="106">
        <f t="shared" si="18"/>
        <v>191339.62</v>
      </c>
      <c r="R15" s="106">
        <f t="shared" si="18"/>
        <v>318855.64999999997</v>
      </c>
      <c r="S15" s="106">
        <f t="shared" si="18"/>
        <v>336623.68</v>
      </c>
      <c r="T15" s="140">
        <f t="shared" si="18"/>
        <v>1062.2099999999991</v>
      </c>
      <c r="U15" s="43">
        <f t="shared" si="18"/>
        <v>268091.919375</v>
      </c>
      <c r="V15" s="376">
        <f t="shared" si="18"/>
        <v>1063.9400000000023</v>
      </c>
      <c r="W15" s="43">
        <f t="shared" si="18"/>
        <v>1923600</v>
      </c>
      <c r="X15" s="43">
        <f t="shared" si="18"/>
        <v>274743.92</v>
      </c>
      <c r="Y15" s="43">
        <f t="shared" si="18"/>
        <v>275807.86</v>
      </c>
      <c r="Z15" s="43">
        <f t="shared" si="18"/>
        <v>297000</v>
      </c>
      <c r="AA15" s="43">
        <f t="shared" si="18"/>
        <v>909431.54</v>
      </c>
      <c r="AB15" s="43">
        <f aca="true" t="shared" si="19" ref="AB15:AI15">AB12+AB14</f>
        <v>298780</v>
      </c>
      <c r="AC15" s="43">
        <f t="shared" si="19"/>
        <v>298780</v>
      </c>
      <c r="AD15" s="43">
        <f t="shared" si="19"/>
        <v>298780</v>
      </c>
      <c r="AE15" s="43">
        <f t="shared" si="19"/>
        <v>896340</v>
      </c>
      <c r="AF15" s="43">
        <f t="shared" si="19"/>
        <v>290000</v>
      </c>
      <c r="AG15" s="43">
        <f t="shared" si="19"/>
        <v>136260</v>
      </c>
      <c r="AH15" s="43">
        <f t="shared" si="19"/>
        <v>7000</v>
      </c>
      <c r="AI15" s="43">
        <f t="shared" si="19"/>
        <v>433260</v>
      </c>
      <c r="AJ15" s="43">
        <f>AJ12+AJ14</f>
        <v>3334497.5</v>
      </c>
      <c r="AK15" s="43">
        <f>AK12+AK14</f>
        <v>1432089.6400000001</v>
      </c>
      <c r="AL15" s="228">
        <f>AL12+AL14</f>
        <v>1.7300000000032014</v>
      </c>
    </row>
    <row r="16" spans="1:37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S17*100/U15</f>
        <v>0.3968564224092822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272"/>
      <c r="AK16" s="230"/>
    </row>
    <row r="17" spans="1:85" s="42" customFormat="1" ht="18.7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Q17" s="581" t="s">
        <v>106</v>
      </c>
      <c r="R17" s="582"/>
      <c r="S17" s="353">
        <f>P15+T15</f>
        <v>1063.9400000000023</v>
      </c>
      <c r="AJ17" s="226"/>
      <c r="AK17" s="226"/>
      <c r="AL17" s="226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</row>
    <row r="18" spans="2:38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84</v>
      </c>
      <c r="N18" s="300" t="s">
        <v>77</v>
      </c>
      <c r="O18" s="299" t="s">
        <v>32</v>
      </c>
      <c r="P18" s="72" t="s">
        <v>49</v>
      </c>
      <c r="Q18" s="185" t="s">
        <v>58</v>
      </c>
      <c r="R18" s="311" t="s">
        <v>86</v>
      </c>
      <c r="S18" s="37" t="s">
        <v>95</v>
      </c>
      <c r="T18" s="72" t="s">
        <v>96</v>
      </c>
      <c r="U18" s="372"/>
      <c r="V18" s="390" t="s">
        <v>122</v>
      </c>
      <c r="W18" s="334" t="s">
        <v>97</v>
      </c>
      <c r="X18" s="311" t="s">
        <v>88</v>
      </c>
      <c r="Y18" s="377" t="s">
        <v>123</v>
      </c>
      <c r="Z18" s="311" t="s">
        <v>89</v>
      </c>
      <c r="AA18" s="185" t="s">
        <v>87</v>
      </c>
      <c r="AB18" s="311" t="s">
        <v>111</v>
      </c>
      <c r="AC18" s="311" t="s">
        <v>112</v>
      </c>
      <c r="AD18" s="311" t="s">
        <v>113</v>
      </c>
      <c r="AE18" s="185" t="s">
        <v>101</v>
      </c>
      <c r="AF18" s="311" t="s">
        <v>114</v>
      </c>
      <c r="AG18" s="311" t="s">
        <v>115</v>
      </c>
      <c r="AH18" s="311" t="s">
        <v>116</v>
      </c>
      <c r="AI18" s="185" t="s">
        <v>105</v>
      </c>
      <c r="AJ18" s="225" t="s">
        <v>59</v>
      </c>
      <c r="AK18" s="219" t="s">
        <v>55</v>
      </c>
      <c r="AL18" s="96" t="s">
        <v>126</v>
      </c>
    </row>
    <row r="19" spans="2:38" s="28" customFormat="1" ht="27.7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M15+'MAR2022-R'!P21</f>
        <v>487743.3148636499</v>
      </c>
      <c r="N19" s="301">
        <f>M15+'MAR2022-R'!P21</f>
        <v>487743.3148636499</v>
      </c>
      <c r="O19" s="289">
        <f>O15+'MAR2022-R'!Q21</f>
        <v>759655.66</v>
      </c>
      <c r="P19" s="82">
        <f>P15+'MAR2022-R'!R21</f>
        <v>986.0518275625462</v>
      </c>
      <c r="Q19" s="291">
        <f>Q15+'FEB2022-R'!U21</f>
        <v>893665.1848636499</v>
      </c>
      <c r="R19" s="290">
        <f>R15+'APR2022-R'!T21</f>
        <v>520804.25</v>
      </c>
      <c r="S19" s="350">
        <f>S15+'APR2022-R'!U21</f>
        <v>529631.6799999999</v>
      </c>
      <c r="T19" s="290">
        <f>T15+'APR2022-R'!V21</f>
        <v>16602.81</v>
      </c>
      <c r="U19" s="290"/>
      <c r="V19" s="82">
        <f>V15+'APR2022-R'!X21</f>
        <v>17588.86182756255</v>
      </c>
      <c r="W19" s="301">
        <f>W15+'APR2022-R'!Y21</f>
        <v>3206000</v>
      </c>
      <c r="X19" s="290">
        <f>X15+'APR2022-R'!Z21</f>
        <v>468266.26</v>
      </c>
      <c r="Y19" s="379">
        <f>Y15+'APR2022-R'!AA21</f>
        <v>485855.1218275625</v>
      </c>
      <c r="Z19" s="290">
        <f>Z15+'APR2022-R'!AB21</f>
        <v>492500</v>
      </c>
      <c r="AA19" s="370">
        <f>AA15+'APR2022-R'!AC21</f>
        <v>1507986.8018275625</v>
      </c>
      <c r="AB19" s="290">
        <f>AB15+'APR2022-R'!AD21</f>
        <v>495000</v>
      </c>
      <c r="AC19" s="290">
        <f>AC15+'APR2022-R'!AE21</f>
        <v>495000</v>
      </c>
      <c r="AD19" s="290">
        <f>AD15+'APR2022-R'!AF21</f>
        <v>495000</v>
      </c>
      <c r="AE19" s="370">
        <f>AE15+'APR2022-R'!AG21</f>
        <v>1485000</v>
      </c>
      <c r="AF19" s="290">
        <f>AF15+'APR2022-R'!AH21</f>
        <v>487043</v>
      </c>
      <c r="AG19" s="290">
        <f>AG15+'APR2022-R'!AI21</f>
        <v>233642.41502272003</v>
      </c>
      <c r="AH19" s="290">
        <f>AH15+'APR2022-R'!AJ21</f>
        <v>15314.58453192003</v>
      </c>
      <c r="AI19" s="291">
        <f>AI15+'APR2022-R'!AK21</f>
        <v>735999.99955464</v>
      </c>
      <c r="AJ19" s="360">
        <f>AJ15+'APR2022-R'!AL21</f>
        <v>5695499.761382203</v>
      </c>
      <c r="AK19" s="361">
        <f>AK15+'APR2022-R'!AM21</f>
        <v>2496144.64</v>
      </c>
      <c r="AL19" s="290">
        <f>AL15+'APR2022-R'!AN21</f>
        <v>986.0518275625454</v>
      </c>
    </row>
    <row r="20" spans="3:37" ht="41.25" customHeight="1" thickBot="1">
      <c r="C20" s="246" t="s">
        <v>125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N20" s="585" t="s">
        <v>91</v>
      </c>
      <c r="O20" s="586"/>
      <c r="P20" s="206">
        <f>P16+'MAR2022-R'!R22</f>
        <v>272898.39</v>
      </c>
      <c r="Q20" s="282"/>
      <c r="R20" s="585" t="s">
        <v>117</v>
      </c>
      <c r="S20" s="586"/>
      <c r="T20" s="206">
        <f>T16+'APR2022-R'!V22</f>
        <v>25430.23999999999</v>
      </c>
      <c r="U20" s="282"/>
      <c r="V20" s="282"/>
      <c r="W20" s="282"/>
      <c r="X20" s="371">
        <f>S17+'APR2022-R'!V24</f>
        <v>17588.86182756255</v>
      </c>
      <c r="Y20" s="371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330"/>
      <c r="AK20" s="331"/>
    </row>
    <row r="21" spans="2:37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279" t="s">
        <v>70</v>
      </c>
      <c r="AK21" s="234">
        <v>25429.76</v>
      </c>
    </row>
    <row r="22" spans="2:37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59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233" t="e">
        <f>#REF!</f>
        <v>#REF!</v>
      </c>
      <c r="AK22" s="41" t="e">
        <f>AK21-#REF!</f>
        <v>#REF!</v>
      </c>
    </row>
    <row r="23" spans="2:37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61" t="e">
        <f>C21+Q21-K22</f>
        <v>#REF!</v>
      </c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232">
        <v>667000</v>
      </c>
      <c r="AK23" s="211"/>
    </row>
    <row r="24" spans="2:37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5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116" t="e">
        <f>AJ22-AJ23</f>
        <v>#REF!</v>
      </c>
      <c r="AK24" s="36"/>
    </row>
    <row r="25" spans="2:37" ht="19.5" customHeight="1" hidden="1" thickBot="1">
      <c r="B25" s="188"/>
      <c r="C25" s="214">
        <v>72293.07</v>
      </c>
      <c r="D25" s="215"/>
      <c r="E25" s="215">
        <v>3323950</v>
      </c>
      <c r="Q25" s="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116"/>
      <c r="AK25" s="36"/>
    </row>
    <row r="26" spans="2:37" ht="25.5" customHeight="1" hidden="1" thickBot="1">
      <c r="B26" s="217"/>
      <c r="C26" s="218">
        <v>3982180</v>
      </c>
      <c r="Q26" s="152">
        <v>3982180</v>
      </c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210"/>
      <c r="AK26" s="212"/>
    </row>
    <row r="27" spans="2:37" ht="15" customHeight="1" thickBot="1">
      <c r="B27" s="188"/>
      <c r="C27" s="220"/>
      <c r="D27" s="221"/>
      <c r="E27" s="222"/>
      <c r="AJ27" s="210"/>
      <c r="AK27" s="100"/>
    </row>
    <row r="28" spans="2:36" ht="25.5" customHeight="1" thickBot="1">
      <c r="B28" s="223" t="s">
        <v>60</v>
      </c>
      <c r="C28" s="244" t="s">
        <v>119</v>
      </c>
      <c r="D28" s="247" t="s">
        <v>118</v>
      </c>
      <c r="E28" s="183"/>
      <c r="F28" s="302"/>
      <c r="G28" s="302"/>
      <c r="H28" s="302"/>
      <c r="I28" s="302"/>
      <c r="J28" s="302"/>
      <c r="K28" s="302"/>
      <c r="L28" s="302"/>
      <c r="M28" s="302"/>
      <c r="N28" s="216"/>
      <c r="O28" s="216"/>
      <c r="P28" s="216"/>
      <c r="Q28" s="243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227">
        <v>44692</v>
      </c>
    </row>
    <row r="29" spans="2:4" ht="25.5" customHeight="1" thickBot="1">
      <c r="B29" s="326" t="s">
        <v>92</v>
      </c>
      <c r="C29" s="327" t="s">
        <v>93</v>
      </c>
      <c r="D29" s="2" t="s">
        <v>120</v>
      </c>
    </row>
    <row r="30" spans="2:5" ht="25.5" customHeight="1" thickBot="1">
      <c r="B30" s="328" t="s">
        <v>94</v>
      </c>
      <c r="C30" s="329">
        <f>1773.9+500</f>
        <v>2273.9</v>
      </c>
      <c r="E30" s="26">
        <f>E19+K19+N19</f>
        <v>1694600.6148636497</v>
      </c>
    </row>
  </sheetData>
  <sheetProtection/>
  <mergeCells count="8">
    <mergeCell ref="R16:S16"/>
    <mergeCell ref="R20:S20"/>
    <mergeCell ref="Q17:R17"/>
    <mergeCell ref="G20:I20"/>
    <mergeCell ref="N20:O20"/>
    <mergeCell ref="J16:K16"/>
    <mergeCell ref="J17:K17"/>
    <mergeCell ref="J20:K20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69"/>
  <sheetViews>
    <sheetView workbookViewId="0" topLeftCell="A1">
      <pane xSplit="4845" topLeftCell="J1" activePane="topRight" state="split"/>
      <selection pane="topLeft" activeCell="Y16" sqref="Y16"/>
      <selection pane="topRight" activeCell="V1" sqref="V1:V1638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75390625" style="69" bestFit="1" customWidth="1"/>
    <col min="4" max="4" width="8.625" style="2" bestFit="1" customWidth="1"/>
    <col min="5" max="5" width="8.75390625" style="26" bestFit="1" customWidth="1"/>
    <col min="6" max="6" width="9.00390625" style="2" bestFit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9.00390625" style="69" customWidth="1"/>
    <col min="11" max="11" width="8.875" style="21" bestFit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bestFit="1" customWidth="1"/>
    <col min="17" max="17" width="9.50390625" style="67" bestFit="1" customWidth="1"/>
    <col min="18" max="18" width="9.125" style="67" customWidth="1"/>
    <col min="19" max="19" width="9.375" style="8" customWidth="1"/>
    <col min="20" max="21" width="8.625" style="313" customWidth="1"/>
    <col min="22" max="22" width="8.625" style="313" hidden="1" customWidth="1"/>
    <col min="23" max="23" width="8.625" style="313" customWidth="1"/>
    <col min="24" max="24" width="10.875" style="26" customWidth="1"/>
    <col min="25" max="25" width="10.625" style="2" customWidth="1"/>
    <col min="26" max="26" width="10.625" style="1" hidden="1" customWidth="1"/>
    <col min="27" max="27" width="11.25390625" style="1" customWidth="1"/>
    <col min="28" max="16384" width="9.00390625" style="1" customWidth="1"/>
  </cols>
  <sheetData>
    <row r="1" spans="1:25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25"/>
      <c r="Y1" s="13"/>
    </row>
    <row r="2" ht="43.5" customHeight="1">
      <c r="A2" s="8"/>
    </row>
    <row r="3" spans="1:25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25"/>
      <c r="Y3" s="13"/>
    </row>
    <row r="4" spans="1:26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58</v>
      </c>
      <c r="T4" s="316" t="s">
        <v>86</v>
      </c>
      <c r="U4" s="311" t="s">
        <v>88</v>
      </c>
      <c r="V4" s="320" t="s">
        <v>89</v>
      </c>
      <c r="W4" s="185" t="s">
        <v>87</v>
      </c>
      <c r="X4" s="317" t="s">
        <v>59</v>
      </c>
      <c r="Y4" s="219" t="s">
        <v>55</v>
      </c>
      <c r="Z4" s="96" t="s">
        <v>72</v>
      </c>
    </row>
    <row r="5" spans="1:26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21"/>
      <c r="V5" s="314"/>
      <c r="W5" s="78">
        <f>T5+U5+V5</f>
        <v>102077.13</v>
      </c>
      <c r="X5" s="235">
        <f>S5+W5</f>
        <v>401385.13</v>
      </c>
      <c r="Y5" s="148">
        <f>E5+K5+Q5</f>
        <v>299308</v>
      </c>
      <c r="Z5" s="86">
        <f>O5-L5</f>
        <v>-10.360000000000582</v>
      </c>
    </row>
    <row r="6" spans="1:26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M6*M22/100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265"/>
      <c r="V6" s="315"/>
      <c r="W6" s="77">
        <f>T6+U6+V6</f>
        <v>41970.49</v>
      </c>
      <c r="X6" s="236">
        <f>S6+W6</f>
        <v>207737.49</v>
      </c>
      <c r="Y6" s="149">
        <f>E6+K6+Q6</f>
        <v>165767</v>
      </c>
      <c r="Z6" s="87">
        <f>O6</f>
        <v>932.8474925512335</v>
      </c>
    </row>
    <row r="7" spans="1:26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M7*M22/100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 aca="true" t="shared" si="0" ref="S7:S19">E7+K7+Q7</f>
        <v>308180</v>
      </c>
      <c r="T7" s="315">
        <f>21770.7-29.06</f>
        <v>21741.64</v>
      </c>
      <c r="U7" s="265"/>
      <c r="V7" s="315"/>
      <c r="W7" s="77">
        <f aca="true" t="shared" si="1" ref="W7:W19">T7+U7+V7</f>
        <v>21741.64</v>
      </c>
      <c r="X7" s="236">
        <f aca="true" t="shared" si="2" ref="X7:X19">S7+W7</f>
        <v>329921.64</v>
      </c>
      <c r="Y7" s="149">
        <f aca="true" t="shared" si="3" ref="Y7:Y19">E7+K7+Q7</f>
        <v>308180</v>
      </c>
      <c r="Z7" s="87">
        <f>O7</f>
        <v>1787.9381996259417</v>
      </c>
    </row>
    <row r="8" spans="1:26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>D8-E8</f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>H8+I8+1121.78</f>
        <v>12357.004863649889</v>
      </c>
      <c r="K8" s="45">
        <v>12357</v>
      </c>
      <c r="L8" s="32">
        <f>J8-K8</f>
        <v>0.0048636498886480695</v>
      </c>
      <c r="M8" s="268">
        <f>(C8+E8+K8)/14</f>
        <v>13134.07142857143</v>
      </c>
      <c r="N8" s="33">
        <f>11966.32-1121.78</f>
        <v>10844.539999999999</v>
      </c>
      <c r="O8" s="268">
        <f>M8*M22/100</f>
        <v>238.97182756254446</v>
      </c>
      <c r="P8" s="298">
        <f>N8+O8</f>
        <v>11083.511827562543</v>
      </c>
      <c r="Q8" s="45">
        <v>11083</v>
      </c>
      <c r="R8" s="32">
        <f>P8-Q8</f>
        <v>0.5118275625427486</v>
      </c>
      <c r="S8" s="77">
        <f t="shared" si="0"/>
        <v>36577</v>
      </c>
      <c r="T8" s="315">
        <v>12087.19</v>
      </c>
      <c r="U8" s="265"/>
      <c r="V8" s="315"/>
      <c r="W8" s="77">
        <f t="shared" si="1"/>
        <v>12087.19</v>
      </c>
      <c r="X8" s="236">
        <f t="shared" si="2"/>
        <v>48664.19</v>
      </c>
      <c r="Y8" s="149">
        <f t="shared" si="3"/>
        <v>36577</v>
      </c>
      <c r="Z8" s="87">
        <f>O8</f>
        <v>238.97182756254446</v>
      </c>
    </row>
    <row r="9" spans="1:26" s="5" customFormat="1" ht="26.25" customHeigh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>D9-E9</f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>H9+I9+669.26</f>
        <v>7429.99983933246</v>
      </c>
      <c r="K9" s="45">
        <v>7745</v>
      </c>
      <c r="L9" s="204">
        <f>J9-K9</f>
        <v>-315.0001606675396</v>
      </c>
      <c r="M9" s="268">
        <f>(C9+E9+K9)/14</f>
        <v>7917.5</v>
      </c>
      <c r="N9" s="33">
        <f>7170.08-669.26</f>
        <v>6500.82</v>
      </c>
      <c r="O9" s="268">
        <f>M9*M22/100</f>
        <v>144.05734391016952</v>
      </c>
      <c r="P9" s="298">
        <f>N9+O9</f>
        <v>6644.87734391017</v>
      </c>
      <c r="Q9" s="45">
        <v>6850</v>
      </c>
      <c r="R9" s="204">
        <f>P9-Q9</f>
        <v>-205.12265608983034</v>
      </c>
      <c r="S9" s="77">
        <f t="shared" si="0"/>
        <v>22320</v>
      </c>
      <c r="T9" s="315">
        <v>7242.51</v>
      </c>
      <c r="U9" s="265"/>
      <c r="V9" s="315"/>
      <c r="W9" s="77">
        <f t="shared" si="1"/>
        <v>7242.51</v>
      </c>
      <c r="X9" s="236">
        <f t="shared" si="2"/>
        <v>29562.510000000002</v>
      </c>
      <c r="Y9" s="149">
        <f t="shared" si="3"/>
        <v>22320</v>
      </c>
      <c r="Z9" s="87">
        <f>O9</f>
        <v>144.05734391016952</v>
      </c>
    </row>
    <row r="10" spans="1:26" s="5" customFormat="1" ht="20.25" customHeight="1">
      <c r="A10" s="4"/>
      <c r="B10" s="125" t="s">
        <v>1</v>
      </c>
      <c r="C10" s="47">
        <v>3105146</v>
      </c>
      <c r="D10" s="47">
        <f>SUM(D5:D9)</f>
        <v>185273.01</v>
      </c>
      <c r="E10" s="47">
        <f>SUM(E5:E9)</f>
        <v>243687</v>
      </c>
      <c r="F10" s="47">
        <f>F5+F8</f>
        <v>4125.550000000003</v>
      </c>
      <c r="G10" s="47">
        <f>SUM(G5:G9)</f>
        <v>173459</v>
      </c>
      <c r="H10" s="47">
        <f>SUM(H5:H9)</f>
        <v>181276.47</v>
      </c>
      <c r="I10" s="47">
        <f>SUM(I5:I9)</f>
        <v>5312.620000000002</v>
      </c>
      <c r="J10" s="47">
        <f>SUM(J5:J9)</f>
        <v>188535.34</v>
      </c>
      <c r="K10" s="47">
        <f>SUM(K5:K9)</f>
        <v>234311</v>
      </c>
      <c r="L10" s="47">
        <f>L5+L8</f>
        <v>10.36486364988923</v>
      </c>
      <c r="M10" s="47">
        <f aca="true" t="shared" si="4" ref="M10:Z10">SUM(M5:M9)</f>
        <v>170588</v>
      </c>
      <c r="N10" s="47">
        <f t="shared" si="4"/>
        <v>181350.30000000002</v>
      </c>
      <c r="O10" s="47">
        <f t="shared" si="4"/>
        <v>3103.8148636498895</v>
      </c>
      <c r="P10" s="47">
        <f t="shared" si="4"/>
        <v>184483.17486364988</v>
      </c>
      <c r="Q10" s="47">
        <f t="shared" si="4"/>
        <v>354154</v>
      </c>
      <c r="R10" s="47">
        <f>R5+R8</f>
        <v>5.871827562543331</v>
      </c>
      <c r="S10" s="47">
        <f>S5+S8</f>
        <v>335885</v>
      </c>
      <c r="T10" s="47">
        <f>SUM(T5:T9)</f>
        <v>185118.96000000002</v>
      </c>
      <c r="U10" s="47">
        <f>SUM(U5:U9)</f>
        <v>0</v>
      </c>
      <c r="V10" s="47">
        <f>SUM(V5:V9)</f>
        <v>0</v>
      </c>
      <c r="W10" s="47">
        <f>SUM(W5:W9)</f>
        <v>185118.96000000002</v>
      </c>
      <c r="X10" s="47">
        <f>SUM(X5:X9)</f>
        <v>1017270.96</v>
      </c>
      <c r="Y10" s="318">
        <f t="shared" si="4"/>
        <v>832152</v>
      </c>
      <c r="Z10" s="47">
        <f t="shared" si="4"/>
        <v>3093.454863649889</v>
      </c>
    </row>
    <row r="11" spans="1:26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aca="true" t="shared" si="5" ref="F11:F19">D11-E11</f>
        <v>0</v>
      </c>
      <c r="G11" s="32"/>
      <c r="H11" s="24">
        <v>0</v>
      </c>
      <c r="I11" s="23"/>
      <c r="J11" s="181">
        <f aca="true" t="shared" si="6" ref="J11:J19">H11+I11</f>
        <v>0</v>
      </c>
      <c r="K11" s="45"/>
      <c r="L11" s="32">
        <f aca="true" t="shared" si="7" ref="L11:L19">J11-K11</f>
        <v>0</v>
      </c>
      <c r="M11" s="32"/>
      <c r="N11" s="33">
        <v>0</v>
      </c>
      <c r="O11" s="32"/>
      <c r="P11" s="298">
        <f aca="true" t="shared" si="8" ref="P11:P19">N11+O11</f>
        <v>0</v>
      </c>
      <c r="Q11" s="45"/>
      <c r="R11" s="32"/>
      <c r="S11" s="77">
        <f t="shared" si="0"/>
        <v>0</v>
      </c>
      <c r="T11" s="315">
        <v>0</v>
      </c>
      <c r="U11" s="265"/>
      <c r="V11" s="315"/>
      <c r="W11" s="77">
        <f t="shared" si="1"/>
        <v>0</v>
      </c>
      <c r="X11" s="236">
        <f t="shared" si="2"/>
        <v>0</v>
      </c>
      <c r="Y11" s="149">
        <f t="shared" si="3"/>
        <v>0</v>
      </c>
      <c r="Z11" s="87"/>
    </row>
    <row r="12" spans="1:26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5"/>
        <v>12.069999999999936</v>
      </c>
      <c r="G12" s="32"/>
      <c r="H12" s="24">
        <v>1268.31</v>
      </c>
      <c r="I12" s="23"/>
      <c r="J12" s="181">
        <f t="shared" si="6"/>
        <v>1268.31</v>
      </c>
      <c r="K12" s="45">
        <v>1260</v>
      </c>
      <c r="L12" s="32">
        <f t="shared" si="7"/>
        <v>8.309999999999945</v>
      </c>
      <c r="M12" s="32"/>
      <c r="N12" s="33">
        <v>1268.31</v>
      </c>
      <c r="O12" s="32"/>
      <c r="P12" s="298">
        <f t="shared" si="8"/>
        <v>1268.31</v>
      </c>
      <c r="Q12" s="45">
        <v>1260</v>
      </c>
      <c r="R12" s="32">
        <f>P12-Q12</f>
        <v>8.309999999999945</v>
      </c>
      <c r="S12" s="77">
        <f t="shared" si="0"/>
        <v>3780</v>
      </c>
      <c r="T12" s="315">
        <v>1281.12</v>
      </c>
      <c r="U12" s="265"/>
      <c r="V12" s="315"/>
      <c r="W12" s="77">
        <f t="shared" si="1"/>
        <v>1281.12</v>
      </c>
      <c r="X12" s="236">
        <f t="shared" si="2"/>
        <v>5061.12</v>
      </c>
      <c r="Y12" s="149">
        <f t="shared" si="3"/>
        <v>3780</v>
      </c>
      <c r="Z12" s="87">
        <f aca="true" t="shared" si="9" ref="Z12:Z19">O12-L12</f>
        <v>-8.309999999999945</v>
      </c>
    </row>
    <row r="13" spans="1:26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5"/>
        <v>3.3099999999999454</v>
      </c>
      <c r="G13" s="32"/>
      <c r="H13" s="24">
        <v>721.18</v>
      </c>
      <c r="I13" s="23"/>
      <c r="J13" s="181">
        <f t="shared" si="6"/>
        <v>721.18</v>
      </c>
      <c r="K13" s="45">
        <v>720</v>
      </c>
      <c r="L13" s="32">
        <f t="shared" si="7"/>
        <v>1.17999999999995</v>
      </c>
      <c r="M13" s="32"/>
      <c r="N13" s="33">
        <v>721.18</v>
      </c>
      <c r="O13" s="32"/>
      <c r="P13" s="298">
        <f t="shared" si="8"/>
        <v>721.18</v>
      </c>
      <c r="Q13" s="45">
        <v>720</v>
      </c>
      <c r="R13" s="32">
        <f aca="true" t="shared" si="10" ref="R13:R19">P13-Q13</f>
        <v>1.17999999999995</v>
      </c>
      <c r="S13" s="77">
        <f t="shared" si="0"/>
        <v>2160</v>
      </c>
      <c r="T13" s="315">
        <v>728.46</v>
      </c>
      <c r="U13" s="265"/>
      <c r="V13" s="315"/>
      <c r="W13" s="77">
        <f t="shared" si="1"/>
        <v>728.46</v>
      </c>
      <c r="X13" s="236">
        <f t="shared" si="2"/>
        <v>2888.46</v>
      </c>
      <c r="Y13" s="149">
        <f t="shared" si="3"/>
        <v>2160</v>
      </c>
      <c r="Z13" s="87">
        <f t="shared" si="9"/>
        <v>-1.17999999999995</v>
      </c>
    </row>
    <row r="14" spans="1:26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5"/>
        <v>57.379999999999995</v>
      </c>
      <c r="G14" s="32"/>
      <c r="H14" s="24">
        <v>894.73</v>
      </c>
      <c r="I14" s="23"/>
      <c r="J14" s="181">
        <f t="shared" si="6"/>
        <v>894.73</v>
      </c>
      <c r="K14" s="45">
        <v>840</v>
      </c>
      <c r="L14" s="32">
        <f t="shared" si="7"/>
        <v>54.73000000000002</v>
      </c>
      <c r="M14" s="32"/>
      <c r="N14" s="33">
        <v>894.73</v>
      </c>
      <c r="O14" s="32"/>
      <c r="P14" s="298">
        <f t="shared" si="8"/>
        <v>894.73</v>
      </c>
      <c r="Q14" s="45">
        <v>840</v>
      </c>
      <c r="R14" s="32">
        <f t="shared" si="10"/>
        <v>54.73000000000002</v>
      </c>
      <c r="S14" s="77">
        <f t="shared" si="0"/>
        <v>2520</v>
      </c>
      <c r="T14" s="315">
        <v>903.77</v>
      </c>
      <c r="U14" s="265"/>
      <c r="V14" s="315"/>
      <c r="W14" s="77">
        <f t="shared" si="1"/>
        <v>903.77</v>
      </c>
      <c r="X14" s="236">
        <f t="shared" si="2"/>
        <v>3423.77</v>
      </c>
      <c r="Y14" s="149">
        <f t="shared" si="3"/>
        <v>2520</v>
      </c>
      <c r="Z14" s="87">
        <f t="shared" si="9"/>
        <v>-54.73000000000002</v>
      </c>
    </row>
    <row r="15" spans="1:26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5"/>
        <v>70.20000000000005</v>
      </c>
      <c r="G15" s="32"/>
      <c r="H15" s="24">
        <v>728.04</v>
      </c>
      <c r="I15" s="23"/>
      <c r="J15" s="181">
        <f t="shared" si="6"/>
        <v>728.04</v>
      </c>
      <c r="K15" s="45">
        <v>720</v>
      </c>
      <c r="L15" s="32">
        <f t="shared" si="7"/>
        <v>8.039999999999964</v>
      </c>
      <c r="M15" s="32"/>
      <c r="N15" s="33">
        <v>728.04</v>
      </c>
      <c r="O15" s="32"/>
      <c r="P15" s="298">
        <f t="shared" si="8"/>
        <v>728.04</v>
      </c>
      <c r="Q15" s="45">
        <v>660</v>
      </c>
      <c r="R15" s="32">
        <f t="shared" si="10"/>
        <v>68.03999999999996</v>
      </c>
      <c r="S15" s="77">
        <f t="shared" si="0"/>
        <v>2040</v>
      </c>
      <c r="T15" s="315">
        <v>735.39</v>
      </c>
      <c r="U15" s="265"/>
      <c r="V15" s="315"/>
      <c r="W15" s="77">
        <f t="shared" si="1"/>
        <v>735.39</v>
      </c>
      <c r="X15" s="236">
        <f t="shared" si="2"/>
        <v>2775.39</v>
      </c>
      <c r="Y15" s="149">
        <f t="shared" si="3"/>
        <v>2040</v>
      </c>
      <c r="Z15" s="87">
        <f t="shared" si="9"/>
        <v>-8.039999999999964</v>
      </c>
    </row>
    <row r="16" spans="1:26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5"/>
        <v>0.2699999999999818</v>
      </c>
      <c r="G16" s="32"/>
      <c r="H16" s="24">
        <v>2647.42</v>
      </c>
      <c r="I16" s="24"/>
      <c r="J16" s="181">
        <f t="shared" si="6"/>
        <v>2647.42</v>
      </c>
      <c r="K16" s="74">
        <v>2640</v>
      </c>
      <c r="L16" s="32">
        <f t="shared" si="7"/>
        <v>7.420000000000073</v>
      </c>
      <c r="M16" s="32"/>
      <c r="N16" s="33">
        <v>2647.42</v>
      </c>
      <c r="O16" s="32"/>
      <c r="P16" s="298">
        <f t="shared" si="8"/>
        <v>2647.42</v>
      </c>
      <c r="Q16" s="45">
        <v>2640</v>
      </c>
      <c r="R16" s="32">
        <f t="shared" si="10"/>
        <v>7.420000000000073</v>
      </c>
      <c r="S16" s="77">
        <f t="shared" si="0"/>
        <v>7935</v>
      </c>
      <c r="T16" s="315">
        <v>2674.16</v>
      </c>
      <c r="U16" s="265"/>
      <c r="V16" s="315"/>
      <c r="W16" s="77">
        <f t="shared" si="1"/>
        <v>2674.16</v>
      </c>
      <c r="X16" s="236">
        <f t="shared" si="2"/>
        <v>10609.16</v>
      </c>
      <c r="Y16" s="149">
        <f t="shared" si="3"/>
        <v>7935</v>
      </c>
      <c r="Z16" s="87">
        <f t="shared" si="9"/>
        <v>-7.420000000000073</v>
      </c>
    </row>
    <row r="17" spans="1:26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5"/>
        <v>31.070000000000164</v>
      </c>
      <c r="G17" s="32"/>
      <c r="H17" s="24">
        <v>2304.23</v>
      </c>
      <c r="I17" s="23"/>
      <c r="J17" s="181">
        <f t="shared" si="6"/>
        <v>2304.23</v>
      </c>
      <c r="K17" s="45">
        <v>0</v>
      </c>
      <c r="L17" s="32">
        <f t="shared" si="7"/>
        <v>2304.23</v>
      </c>
      <c r="M17" s="32"/>
      <c r="N17" s="33">
        <v>2304.23</v>
      </c>
      <c r="O17" s="32"/>
      <c r="P17" s="298">
        <f t="shared" si="8"/>
        <v>2304.23</v>
      </c>
      <c r="Q17" s="45">
        <v>2280</v>
      </c>
      <c r="R17" s="32">
        <f t="shared" si="10"/>
        <v>24.230000000000018</v>
      </c>
      <c r="S17" s="77">
        <f t="shared" si="0"/>
        <v>4560</v>
      </c>
      <c r="T17" s="315">
        <v>2327.51</v>
      </c>
      <c r="U17" s="265"/>
      <c r="V17" s="315"/>
      <c r="W17" s="77">
        <f t="shared" si="1"/>
        <v>2327.51</v>
      </c>
      <c r="X17" s="236">
        <f t="shared" si="2"/>
        <v>6887.51</v>
      </c>
      <c r="Y17" s="149">
        <f t="shared" si="3"/>
        <v>4560</v>
      </c>
      <c r="Z17" s="87">
        <f t="shared" si="9"/>
        <v>-2304.23</v>
      </c>
    </row>
    <row r="18" spans="1:26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5"/>
        <v>1005.98</v>
      </c>
      <c r="G18" s="32"/>
      <c r="H18" s="24">
        <v>1421.76</v>
      </c>
      <c r="I18" s="23"/>
      <c r="J18" s="181">
        <f t="shared" si="6"/>
        <v>1421.76</v>
      </c>
      <c r="K18" s="45">
        <v>720</v>
      </c>
      <c r="L18" s="32">
        <f t="shared" si="7"/>
        <v>701.76</v>
      </c>
      <c r="M18" s="32"/>
      <c r="N18" s="33">
        <v>1421.76</v>
      </c>
      <c r="O18" s="32"/>
      <c r="P18" s="298">
        <f t="shared" si="8"/>
        <v>1421.76</v>
      </c>
      <c r="Q18" s="45">
        <v>630</v>
      </c>
      <c r="R18" s="32">
        <f t="shared" si="10"/>
        <v>791.76</v>
      </c>
      <c r="S18" s="77">
        <f t="shared" si="0"/>
        <v>1770</v>
      </c>
      <c r="T18" s="315">
        <v>1436.12</v>
      </c>
      <c r="U18" s="265"/>
      <c r="V18" s="315"/>
      <c r="W18" s="77">
        <f t="shared" si="1"/>
        <v>1436.12</v>
      </c>
      <c r="X18" s="236">
        <f t="shared" si="2"/>
        <v>3206.12</v>
      </c>
      <c r="Y18" s="149">
        <f t="shared" si="3"/>
        <v>1770</v>
      </c>
      <c r="Z18" s="87">
        <f t="shared" si="9"/>
        <v>-701.76</v>
      </c>
    </row>
    <row r="19" spans="1:26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5"/>
        <v>6.789999999999964</v>
      </c>
      <c r="G19" s="63"/>
      <c r="H19" s="30">
        <v>4717.78</v>
      </c>
      <c r="I19" s="54"/>
      <c r="J19" s="260">
        <f t="shared" si="6"/>
        <v>4717.78</v>
      </c>
      <c r="K19" s="46">
        <v>4710</v>
      </c>
      <c r="L19" s="32">
        <f t="shared" si="7"/>
        <v>7.779999999999745</v>
      </c>
      <c r="M19" s="63"/>
      <c r="N19" s="34">
        <v>4717.78</v>
      </c>
      <c r="O19" s="63"/>
      <c r="P19" s="298">
        <f t="shared" si="8"/>
        <v>4717.78</v>
      </c>
      <c r="Q19" s="46">
        <v>4695</v>
      </c>
      <c r="R19" s="32">
        <f t="shared" si="10"/>
        <v>22.779999999999745</v>
      </c>
      <c r="S19" s="77">
        <f t="shared" si="0"/>
        <v>14130</v>
      </c>
      <c r="T19" s="315">
        <v>4765.45</v>
      </c>
      <c r="U19" s="322"/>
      <c r="V19" s="315"/>
      <c r="W19" s="77">
        <f t="shared" si="1"/>
        <v>4765.45</v>
      </c>
      <c r="X19" s="236">
        <f t="shared" si="2"/>
        <v>18895.45</v>
      </c>
      <c r="Y19" s="149">
        <f t="shared" si="3"/>
        <v>14130</v>
      </c>
      <c r="Z19" s="87">
        <f t="shared" si="9"/>
        <v>-7.779999999999745</v>
      </c>
    </row>
    <row r="20" spans="1:26" s="10" customFormat="1" ht="23.25" customHeight="1">
      <c r="A20" s="64"/>
      <c r="B20" s="126" t="s">
        <v>12</v>
      </c>
      <c r="C20" s="48">
        <v>185230</v>
      </c>
      <c r="D20" s="48">
        <f aca="true" t="shared" si="11" ref="D20:Z20">SUM(D11:D19)</f>
        <v>14747.07</v>
      </c>
      <c r="E20" s="48">
        <f t="shared" si="11"/>
        <v>13560</v>
      </c>
      <c r="F20" s="48">
        <f t="shared" si="11"/>
        <v>1187.0700000000002</v>
      </c>
      <c r="G20" s="48">
        <f t="shared" si="11"/>
        <v>0</v>
      </c>
      <c r="H20" s="48">
        <f t="shared" si="11"/>
        <v>14703.45</v>
      </c>
      <c r="I20" s="48">
        <f t="shared" si="11"/>
        <v>0</v>
      </c>
      <c r="J20" s="48">
        <f t="shared" si="11"/>
        <v>14703.45</v>
      </c>
      <c r="K20" s="48">
        <f t="shared" si="11"/>
        <v>11610</v>
      </c>
      <c r="L20" s="48">
        <f t="shared" si="11"/>
        <v>3093.45</v>
      </c>
      <c r="M20" s="48">
        <f t="shared" si="11"/>
        <v>0</v>
      </c>
      <c r="N20" s="48">
        <f t="shared" si="11"/>
        <v>14703.45</v>
      </c>
      <c r="O20" s="48">
        <f t="shared" si="11"/>
        <v>0</v>
      </c>
      <c r="P20" s="48">
        <f t="shared" si="11"/>
        <v>14703.45</v>
      </c>
      <c r="Q20" s="48">
        <f t="shared" si="11"/>
        <v>13725</v>
      </c>
      <c r="R20" s="48">
        <f t="shared" si="11"/>
        <v>978.4499999999997</v>
      </c>
      <c r="S20" s="48">
        <f t="shared" si="11"/>
        <v>38895</v>
      </c>
      <c r="T20" s="48">
        <f>SUM(T11:T19)</f>
        <v>14851.98</v>
      </c>
      <c r="U20" s="48">
        <f>SUM(U11:U19)</f>
        <v>0</v>
      </c>
      <c r="V20" s="48">
        <f>SUM(V11:V19)</f>
        <v>0</v>
      </c>
      <c r="W20" s="48">
        <f>SUM(W11:W19)</f>
        <v>14851.98</v>
      </c>
      <c r="X20" s="319">
        <f t="shared" si="11"/>
        <v>53746.98000000001</v>
      </c>
      <c r="Y20" s="237">
        <f t="shared" si="11"/>
        <v>38895</v>
      </c>
      <c r="Z20" s="48">
        <f t="shared" si="11"/>
        <v>-3093.45</v>
      </c>
    </row>
    <row r="21" spans="1:26" s="10" customFormat="1" ht="20.25" customHeight="1" thickBot="1">
      <c r="A21" s="65"/>
      <c r="B21" s="127" t="s">
        <v>43</v>
      </c>
      <c r="C21" s="49">
        <v>3290376</v>
      </c>
      <c r="D21" s="49">
        <f aca="true" t="shared" si="12" ref="D21:Z21">D10+D20</f>
        <v>200020.08000000002</v>
      </c>
      <c r="E21" s="49">
        <f t="shared" si="12"/>
        <v>257247</v>
      </c>
      <c r="F21" s="151">
        <f t="shared" si="12"/>
        <v>5312.620000000003</v>
      </c>
      <c r="G21" s="49">
        <f t="shared" si="12"/>
        <v>173459</v>
      </c>
      <c r="H21" s="49">
        <f t="shared" si="12"/>
        <v>195979.92</v>
      </c>
      <c r="I21" s="151">
        <f t="shared" si="12"/>
        <v>5312.620000000002</v>
      </c>
      <c r="J21" s="49">
        <f t="shared" si="12"/>
        <v>203238.79</v>
      </c>
      <c r="K21" s="49">
        <f t="shared" si="12"/>
        <v>245921</v>
      </c>
      <c r="L21" s="151">
        <f t="shared" si="12"/>
        <v>3103.814863649889</v>
      </c>
      <c r="M21" s="49">
        <f t="shared" si="12"/>
        <v>170588</v>
      </c>
      <c r="N21" s="49">
        <f t="shared" si="12"/>
        <v>196053.75000000003</v>
      </c>
      <c r="O21" s="151">
        <f t="shared" si="12"/>
        <v>3103.8148636498895</v>
      </c>
      <c r="P21" s="49">
        <f t="shared" si="12"/>
        <v>199186.6248636499</v>
      </c>
      <c r="Q21" s="49">
        <f t="shared" si="12"/>
        <v>367879</v>
      </c>
      <c r="R21" s="151">
        <f t="shared" si="12"/>
        <v>984.321827562543</v>
      </c>
      <c r="S21" s="49">
        <f t="shared" si="12"/>
        <v>374780</v>
      </c>
      <c r="T21" s="49">
        <f>T10+T20</f>
        <v>199970.94000000003</v>
      </c>
      <c r="U21" s="49">
        <f>U10+U20</f>
        <v>0</v>
      </c>
      <c r="V21" s="49">
        <f>V10+V20</f>
        <v>0</v>
      </c>
      <c r="W21" s="49">
        <f>W10+W20</f>
        <v>199970.94000000003</v>
      </c>
      <c r="X21" s="49">
        <f t="shared" si="12"/>
        <v>1071017.94</v>
      </c>
      <c r="Y21" s="143">
        <f t="shared" si="12"/>
        <v>871047</v>
      </c>
      <c r="Z21" s="49">
        <f t="shared" si="12"/>
        <v>0.004863649889102817</v>
      </c>
    </row>
    <row r="22" spans="1:74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73" t="s">
        <v>73</v>
      </c>
      <c r="K22" s="274">
        <f>-(L6+L7+L9)</f>
        <v>45786.02486364989</v>
      </c>
      <c r="L22" s="131" t="s">
        <v>34</v>
      </c>
      <c r="M22" s="297">
        <f>L21*100/M21</f>
        <v>1.8194801883191603</v>
      </c>
      <c r="N22" s="257"/>
      <c r="O22" s="257"/>
      <c r="P22" s="257"/>
      <c r="Q22" s="258"/>
      <c r="R22" s="259">
        <f>16871.57+152600+205.12</f>
        <v>169676.69</v>
      </c>
      <c r="S22" s="324" t="s">
        <v>90</v>
      </c>
      <c r="T22" s="323">
        <f>R21</f>
        <v>984.321827562543</v>
      </c>
      <c r="U22" s="144"/>
      <c r="V22" s="144"/>
      <c r="W22" s="144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</row>
    <row r="23" spans="2:25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7"/>
      <c r="N23" s="578"/>
      <c r="O23" s="266"/>
      <c r="P23" s="266"/>
      <c r="Q23" s="253">
        <f>N22+R21</f>
        <v>984.321827562543</v>
      </c>
      <c r="R23" s="192" t="s">
        <v>34</v>
      </c>
      <c r="S23" s="113"/>
      <c r="T23" s="113"/>
      <c r="U23" s="113"/>
      <c r="V23" s="113"/>
      <c r="W23" s="113"/>
      <c r="X23" s="229" t="e">
        <f>#REF!+#REF!+#REF!</f>
        <v>#REF!</v>
      </c>
      <c r="Y23" s="80"/>
    </row>
    <row r="24" spans="2:25" s="100" customFormat="1" ht="33" customHeight="1" thickBot="1">
      <c r="B24" s="117"/>
      <c r="C24" s="94"/>
      <c r="D24" s="36"/>
      <c r="E24" s="88"/>
      <c r="F24" s="36"/>
      <c r="G24" s="36"/>
      <c r="H24" s="94"/>
      <c r="I24" s="94"/>
      <c r="J24" s="41"/>
      <c r="K24" s="579"/>
      <c r="L24" s="580"/>
      <c r="M24" s="296"/>
      <c r="N24" s="94"/>
      <c r="O24" s="94"/>
      <c r="P24" s="94"/>
      <c r="Q24" s="94"/>
      <c r="R24" s="94"/>
      <c r="S24" s="89"/>
      <c r="T24" s="89"/>
      <c r="U24" s="89"/>
      <c r="V24" s="89"/>
      <c r="W24" s="89"/>
      <c r="X24" s="88"/>
      <c r="Y24" s="36"/>
    </row>
    <row r="25" spans="2:25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94"/>
      <c r="S25" s="89"/>
      <c r="T25" s="89"/>
      <c r="U25" s="89"/>
      <c r="V25" s="89"/>
      <c r="W25" s="89"/>
      <c r="X25" s="88"/>
      <c r="Y25" s="36"/>
    </row>
    <row r="26" spans="2:25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8"/>
      <c r="Y26" s="36"/>
    </row>
    <row r="27" spans="2:25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9"/>
      <c r="S27" s="103"/>
      <c r="T27" s="103"/>
      <c r="U27" s="103"/>
      <c r="V27" s="103"/>
      <c r="W27" s="103"/>
      <c r="X27" s="120"/>
      <c r="Y27" s="121"/>
    </row>
    <row r="28" spans="2:25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8"/>
    </row>
    <row r="29" spans="2:25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53"/>
      <c r="Y29" s="108"/>
    </row>
    <row r="30" spans="2:25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94"/>
      <c r="S30" s="88"/>
      <c r="T30" s="88"/>
      <c r="U30" s="88"/>
      <c r="V30" s="88"/>
      <c r="W30" s="88"/>
      <c r="X30" s="103"/>
      <c r="Y30" s="108"/>
    </row>
    <row r="31" spans="2:25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9"/>
      <c r="T31" s="89"/>
      <c r="U31" s="89"/>
      <c r="V31" s="89"/>
      <c r="W31" s="89"/>
      <c r="X31" s="88"/>
      <c r="Y31" s="36"/>
    </row>
    <row r="32" spans="2:25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8"/>
      <c r="Y32" s="36"/>
    </row>
    <row r="33" spans="2:25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8"/>
      <c r="Y33" s="36"/>
    </row>
    <row r="34" spans="2:25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8"/>
      <c r="Y34" s="36"/>
    </row>
    <row r="35" spans="2:25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8"/>
      <c r="Y35" s="36"/>
    </row>
    <row r="36" spans="2:25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8"/>
      <c r="Y36" s="36"/>
    </row>
    <row r="37" spans="2:25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8"/>
      <c r="Y37" s="36"/>
    </row>
    <row r="38" spans="2:25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8"/>
      <c r="Y38" s="36"/>
    </row>
    <row r="39" spans="2:25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8"/>
      <c r="Y39" s="36"/>
    </row>
    <row r="40" spans="2:25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8"/>
      <c r="Y40" s="36"/>
    </row>
    <row r="41" spans="2:25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8"/>
      <c r="Y41" s="36"/>
    </row>
    <row r="42" spans="2:25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8"/>
      <c r="Y42" s="36"/>
    </row>
    <row r="43" spans="2:25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8"/>
      <c r="Y43" s="36"/>
    </row>
    <row r="44" spans="2:25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8"/>
      <c r="Y44" s="36"/>
    </row>
    <row r="45" spans="2:25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8"/>
      <c r="Y45" s="36"/>
    </row>
    <row r="46" spans="2:25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8"/>
      <c r="Y46" s="36"/>
    </row>
    <row r="47" spans="2:25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8"/>
      <c r="Y47" s="36"/>
    </row>
    <row r="48" spans="2:25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8"/>
      <c r="Y48" s="36"/>
    </row>
    <row r="49" spans="2:25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8"/>
      <c r="Y49" s="36"/>
    </row>
    <row r="50" spans="2:25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8"/>
      <c r="Y50" s="36"/>
    </row>
    <row r="51" spans="2:25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8"/>
      <c r="Y51" s="36"/>
    </row>
    <row r="52" spans="2:25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8"/>
      <c r="Y52" s="36"/>
    </row>
    <row r="53" spans="2:25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8"/>
      <c r="Y53" s="36"/>
    </row>
    <row r="54" spans="2:25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8"/>
      <c r="Y54" s="36"/>
    </row>
    <row r="55" spans="2:25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8"/>
      <c r="Y55" s="36"/>
    </row>
    <row r="56" spans="2:25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8"/>
      <c r="Y56" s="36"/>
    </row>
    <row r="57" spans="2:25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8"/>
      <c r="Y57" s="36"/>
    </row>
    <row r="58" spans="2:25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8"/>
      <c r="Y58" s="36"/>
    </row>
    <row r="59" spans="2:25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8"/>
      <c r="Y59" s="36"/>
    </row>
    <row r="60" spans="2:25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8"/>
      <c r="Y60" s="36"/>
    </row>
    <row r="61" spans="2:25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8"/>
      <c r="Y61" s="36"/>
    </row>
    <row r="62" spans="2:25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8"/>
      <c r="Y62" s="36"/>
    </row>
    <row r="63" spans="2:25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8"/>
      <c r="Y63" s="36"/>
    </row>
    <row r="64" spans="2:25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8"/>
      <c r="Y64" s="36"/>
    </row>
    <row r="65" spans="2:25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8"/>
      <c r="Y65" s="36"/>
    </row>
    <row r="66" spans="2:25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8"/>
      <c r="Y66" s="36"/>
    </row>
    <row r="67" spans="2:25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8"/>
      <c r="Y67" s="36"/>
    </row>
    <row r="68" spans="2:25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8"/>
      <c r="Y68" s="36"/>
    </row>
    <row r="69" spans="2:25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8"/>
      <c r="Y69" s="36"/>
    </row>
  </sheetData>
  <sheetProtection/>
  <mergeCells count="2">
    <mergeCell ref="L23:N23"/>
    <mergeCell ref="K24:L24"/>
  </mergeCells>
  <printOptions/>
  <pageMargins left="0.16" right="0.16" top="0.27" bottom="0.21" header="0.17" footer="0.17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30"/>
  <sheetViews>
    <sheetView workbookViewId="0" topLeftCell="A4">
      <pane xSplit="4365" topLeftCell="D1" activePane="topRight" state="split"/>
      <selection pane="topLeft" activeCell="B21" sqref="B21"/>
      <selection pane="topRight" activeCell="S1" sqref="S1:T16384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2.125" style="26" bestFit="1" customWidth="1"/>
    <col min="4" max="4" width="9.125" style="2" bestFit="1" customWidth="1"/>
    <col min="5" max="5" width="9.75390625" style="26" customWidth="1"/>
    <col min="6" max="6" width="9.875" style="2" bestFit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bestFit="1" customWidth="1"/>
    <col min="11" max="11" width="8.75390625" style="2" bestFit="1" customWidth="1"/>
    <col min="12" max="12" width="9.125" style="71" bestFit="1" customWidth="1"/>
    <col min="13" max="13" width="9.875" style="2" bestFit="1" customWidth="1"/>
    <col min="14" max="14" width="8.625" style="2" bestFit="1" customWidth="1"/>
    <col min="15" max="15" width="9.50390625" style="2" bestFit="1" customWidth="1"/>
    <col min="16" max="16" width="9.875" style="2" customWidth="1"/>
    <col min="17" max="17" width="10.875" style="1" customWidth="1"/>
    <col min="18" max="18" width="10.375" style="28" customWidth="1"/>
    <col min="19" max="20" width="10.375" style="28" hidden="1" customWidth="1"/>
    <col min="21" max="21" width="10.375" style="28" customWidth="1"/>
    <col min="22" max="22" width="11.375" style="105" customWidth="1"/>
    <col min="23" max="23" width="11.375" style="1" bestFit="1" customWidth="1"/>
    <col min="24" max="24" width="10.00390625" style="1" hidden="1" customWidth="1"/>
    <col min="25" max="16384" width="9.00390625" style="1" customWidth="1"/>
  </cols>
  <sheetData>
    <row r="1" spans="1:23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105"/>
      <c r="W1" s="139" t="s">
        <v>35</v>
      </c>
    </row>
    <row r="2" ht="10.5" customHeight="1">
      <c r="A2" s="8"/>
    </row>
    <row r="3" spans="1:22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156"/>
    </row>
    <row r="4" spans="1:24" s="9" customFormat="1" ht="45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58</v>
      </c>
      <c r="R4" s="311" t="s">
        <v>86</v>
      </c>
      <c r="S4" s="311" t="s">
        <v>88</v>
      </c>
      <c r="T4" s="311" t="s">
        <v>89</v>
      </c>
      <c r="U4" s="185" t="s">
        <v>87</v>
      </c>
      <c r="V4" s="225" t="s">
        <v>59</v>
      </c>
      <c r="W4" s="219" t="s">
        <v>55</v>
      </c>
      <c r="X4" s="96" t="s">
        <v>72</v>
      </c>
    </row>
    <row r="5" spans="1:24" s="5" customFormat="1" ht="30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>E5+K5+O5</f>
        <v>147409.62</v>
      </c>
      <c r="R5" s="306">
        <v>48822.11</v>
      </c>
      <c r="S5" s="306"/>
      <c r="T5" s="306"/>
      <c r="U5" s="186">
        <f>R5+S5+T5</f>
        <v>48822.11</v>
      </c>
      <c r="V5" s="133">
        <f>Q5+U5</f>
        <v>196231.72999999998</v>
      </c>
      <c r="W5" s="90">
        <f>E5+K5+O5</f>
        <v>147409.62</v>
      </c>
      <c r="X5" s="264">
        <v>0</v>
      </c>
    </row>
    <row r="6" spans="1:24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>E6+K6+O6</f>
        <v>106786.32</v>
      </c>
      <c r="R6" s="306">
        <v>36735.92</v>
      </c>
      <c r="S6" s="306"/>
      <c r="T6" s="306"/>
      <c r="U6" s="186">
        <f>R6+S6+T6</f>
        <v>36735.92</v>
      </c>
      <c r="V6" s="133">
        <f>Q6+U6</f>
        <v>143522.24</v>
      </c>
      <c r="W6" s="90">
        <f>E6+K6+O6</f>
        <v>106786.32</v>
      </c>
      <c r="X6" s="265">
        <v>0</v>
      </c>
    </row>
    <row r="7" spans="1:24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aca="true" t="shared" si="3" ref="Q7:Q13">E7+K7+O7</f>
        <v>88949.55</v>
      </c>
      <c r="R7" s="306">
        <v>26578.76</v>
      </c>
      <c r="S7" s="306"/>
      <c r="T7" s="306"/>
      <c r="U7" s="186">
        <f aca="true" t="shared" si="4" ref="U7:U13">R7+S7+T7</f>
        <v>26578.76</v>
      </c>
      <c r="V7" s="133">
        <f aca="true" t="shared" si="5" ref="V7:V13">Q7+U7</f>
        <v>115528.31</v>
      </c>
      <c r="W7" s="90">
        <f aca="true" t="shared" si="6" ref="W7:W13">E7+K7+O7</f>
        <v>88949.55</v>
      </c>
      <c r="X7" s="265">
        <v>0</v>
      </c>
    </row>
    <row r="8" spans="1:24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06"/>
      <c r="T8" s="306"/>
      <c r="U8" s="186">
        <f t="shared" si="4"/>
        <v>28213.91</v>
      </c>
      <c r="V8" s="133">
        <f t="shared" si="5"/>
        <v>235360.61000000002</v>
      </c>
      <c r="W8" s="90">
        <f t="shared" si="6"/>
        <v>207146.7</v>
      </c>
      <c r="X8" s="265">
        <v>0</v>
      </c>
    </row>
    <row r="9" spans="1:24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</f>
        <v>63272.08000000001</v>
      </c>
      <c r="S9" s="306"/>
      <c r="T9" s="306"/>
      <c r="U9" s="186">
        <f t="shared" si="4"/>
        <v>63272.08000000001</v>
      </c>
      <c r="V9" s="133">
        <f t="shared" si="5"/>
        <v>314934.08</v>
      </c>
      <c r="W9" s="90">
        <f t="shared" si="6"/>
        <v>251662</v>
      </c>
      <c r="X9" s="265">
        <v>0</v>
      </c>
    </row>
    <row r="10" spans="1:24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06"/>
      <c r="T10" s="306"/>
      <c r="U10" s="186">
        <f t="shared" si="4"/>
        <v>26410.91</v>
      </c>
      <c r="V10" s="133">
        <f t="shared" si="5"/>
        <v>107167.77</v>
      </c>
      <c r="W10" s="90">
        <f t="shared" si="6"/>
        <v>80756.86</v>
      </c>
      <c r="X10" s="265">
        <v>0</v>
      </c>
    </row>
    <row r="11" spans="1:24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v>56565.88</v>
      </c>
      <c r="S11" s="306"/>
      <c r="T11" s="306"/>
      <c r="U11" s="186">
        <f t="shared" si="4"/>
        <v>56565.88</v>
      </c>
      <c r="V11" s="133">
        <f t="shared" si="5"/>
        <v>225390.79</v>
      </c>
      <c r="W11" s="90">
        <f t="shared" si="6"/>
        <v>168824.91</v>
      </c>
      <c r="X11" s="265">
        <v>0</v>
      </c>
    </row>
    <row r="12" spans="1:24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7" ref="G12:M12">SUM(G5:G11)</f>
        <v>205261.1030769231</v>
      </c>
      <c r="H12" s="44">
        <f t="shared" si="7"/>
        <v>272549.07</v>
      </c>
      <c r="I12" s="44">
        <f t="shared" si="7"/>
        <v>5477.89</v>
      </c>
      <c r="J12" s="44">
        <f t="shared" si="7"/>
        <v>289870.7</v>
      </c>
      <c r="K12" s="44">
        <f t="shared" si="7"/>
        <v>341957.91000000003</v>
      </c>
      <c r="L12" s="44">
        <f t="shared" si="7"/>
        <v>-52087.210000000014</v>
      </c>
      <c r="M12" s="44">
        <f t="shared" si="7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Q5</f>
        <v>147409.62</v>
      </c>
      <c r="R12" s="44">
        <f aca="true" t="shared" si="8" ref="R12:X12">SUM(R5:R11)</f>
        <v>286599.57</v>
      </c>
      <c r="S12" s="44">
        <f t="shared" si="8"/>
        <v>0</v>
      </c>
      <c r="T12" s="44">
        <f t="shared" si="8"/>
        <v>0</v>
      </c>
      <c r="U12" s="44">
        <f t="shared" si="8"/>
        <v>286599.57</v>
      </c>
      <c r="V12" s="44">
        <f t="shared" si="8"/>
        <v>1338135.53</v>
      </c>
      <c r="W12" s="43">
        <f t="shared" si="8"/>
        <v>1051535.96</v>
      </c>
      <c r="X12" s="228">
        <f t="shared" si="8"/>
        <v>0</v>
      </c>
    </row>
    <row r="13" spans="1:24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 t="shared" si="3"/>
        <v>43930</v>
      </c>
      <c r="R13" s="306">
        <v>10000</v>
      </c>
      <c r="S13" s="306"/>
      <c r="T13" s="306"/>
      <c r="U13" s="186">
        <f t="shared" si="4"/>
        <v>10000</v>
      </c>
      <c r="V13" s="133">
        <f t="shared" si="5"/>
        <v>53930</v>
      </c>
      <c r="W13" s="90">
        <f t="shared" si="6"/>
        <v>43930</v>
      </c>
      <c r="X13" s="265">
        <f>I13</f>
        <v>0</v>
      </c>
    </row>
    <row r="14" spans="1:24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9" ref="G14:M14">SUM(G13:G13)</f>
        <v>0</v>
      </c>
      <c r="H14" s="50">
        <f t="shared" si="9"/>
        <v>10000</v>
      </c>
      <c r="I14" s="50">
        <f t="shared" si="9"/>
        <v>0</v>
      </c>
      <c r="J14" s="50">
        <f t="shared" si="9"/>
        <v>10000</v>
      </c>
      <c r="K14" s="50">
        <f t="shared" si="9"/>
        <v>15600</v>
      </c>
      <c r="L14" s="50">
        <f t="shared" si="9"/>
        <v>-5600</v>
      </c>
      <c r="M14" s="50">
        <f t="shared" si="9"/>
        <v>10000</v>
      </c>
      <c r="N14" s="50"/>
      <c r="O14" s="50">
        <f aca="true" t="shared" si="10" ref="O14:X14">SUM(O13:O13)</f>
        <v>15960</v>
      </c>
      <c r="P14" s="50">
        <v>0</v>
      </c>
      <c r="Q14" s="187">
        <f t="shared" si="10"/>
        <v>43930</v>
      </c>
      <c r="R14" s="187">
        <f>SUM(R13:R13)</f>
        <v>10000</v>
      </c>
      <c r="S14" s="187">
        <f>SUM(S13:S13)</f>
        <v>0</v>
      </c>
      <c r="T14" s="187">
        <f>SUM(T13:T13)</f>
        <v>0</v>
      </c>
      <c r="U14" s="187">
        <f>SUM(U13:U13)</f>
        <v>10000</v>
      </c>
      <c r="V14" s="50">
        <f t="shared" si="10"/>
        <v>53930</v>
      </c>
      <c r="W14" s="50">
        <f t="shared" si="10"/>
        <v>43930</v>
      </c>
      <c r="X14" s="50">
        <f t="shared" si="10"/>
        <v>0</v>
      </c>
    </row>
    <row r="15" spans="1:24" s="168" customFormat="1" ht="28.5" customHeight="1" thickBot="1">
      <c r="A15" s="166"/>
      <c r="B15" s="167" t="s">
        <v>4</v>
      </c>
      <c r="C15" s="106">
        <v>3643654.47</v>
      </c>
      <c r="D15" s="43">
        <f aca="true" t="shared" si="11" ref="D15:M15">D12+D14</f>
        <v>311450.93</v>
      </c>
      <c r="E15" s="43">
        <f t="shared" si="11"/>
        <v>346131.38999999996</v>
      </c>
      <c r="F15" s="35">
        <f t="shared" si="11"/>
        <v>5477.889999999999</v>
      </c>
      <c r="G15" s="43">
        <f t="shared" si="11"/>
        <v>205261.1030769231</v>
      </c>
      <c r="H15" s="43">
        <f t="shared" si="11"/>
        <v>282549.07</v>
      </c>
      <c r="I15" s="35">
        <f t="shared" si="11"/>
        <v>5477.89</v>
      </c>
      <c r="J15" s="43">
        <f t="shared" si="11"/>
        <v>299870.7</v>
      </c>
      <c r="K15" s="43">
        <f t="shared" si="11"/>
        <v>357557.91000000003</v>
      </c>
      <c r="L15" s="267">
        <f t="shared" si="11"/>
        <v>-57687.210000000014</v>
      </c>
      <c r="M15" s="43">
        <f t="shared" si="11"/>
        <v>288556.69</v>
      </c>
      <c r="N15" s="43"/>
      <c r="O15" s="43">
        <f aca="true" t="shared" si="12" ref="O15:X15">O12+O14</f>
        <v>391776.66000000003</v>
      </c>
      <c r="P15" s="140">
        <f t="shared" si="12"/>
        <v>1.7300000000032014</v>
      </c>
      <c r="Q15" s="106">
        <f t="shared" si="12"/>
        <v>191339.62</v>
      </c>
      <c r="R15" s="106">
        <f>R12+R14</f>
        <v>296599.57</v>
      </c>
      <c r="S15" s="106">
        <f>S12+S14</f>
        <v>0</v>
      </c>
      <c r="T15" s="106">
        <f>T12+T14</f>
        <v>0</v>
      </c>
      <c r="U15" s="106">
        <f>U12+U14</f>
        <v>296599.57</v>
      </c>
      <c r="V15" s="43">
        <f t="shared" si="12"/>
        <v>1392065.53</v>
      </c>
      <c r="W15" s="43">
        <f t="shared" si="12"/>
        <v>1095465.96</v>
      </c>
      <c r="X15" s="228">
        <f t="shared" si="12"/>
        <v>0</v>
      </c>
    </row>
    <row r="16" spans="1:23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144"/>
      <c r="S16" s="144"/>
      <c r="T16" s="144"/>
      <c r="U16" s="144"/>
      <c r="V16" s="272"/>
      <c r="W16" s="230"/>
    </row>
    <row r="17" spans="1:71" s="42" customFormat="1" ht="34.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V17" s="226"/>
      <c r="W17" s="226"/>
      <c r="X17" s="226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</row>
    <row r="18" spans="2:24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84</v>
      </c>
      <c r="N18" s="300" t="s">
        <v>77</v>
      </c>
      <c r="O18" s="299" t="s">
        <v>32</v>
      </c>
      <c r="P18" s="72" t="s">
        <v>49</v>
      </c>
      <c r="Q18" s="185" t="s">
        <v>58</v>
      </c>
      <c r="R18" s="311" t="s">
        <v>86</v>
      </c>
      <c r="S18" s="311" t="s">
        <v>88</v>
      </c>
      <c r="T18" s="311" t="s">
        <v>89</v>
      </c>
      <c r="U18" s="185" t="s">
        <v>87</v>
      </c>
      <c r="V18" s="225" t="s">
        <v>59</v>
      </c>
      <c r="W18" s="219" t="s">
        <v>55</v>
      </c>
      <c r="X18" s="96" t="s">
        <v>72</v>
      </c>
    </row>
    <row r="19" spans="2:24" s="28" customFormat="1" ht="43.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M15+'MAR2022-R'!P21</f>
        <v>487743.3148636499</v>
      </c>
      <c r="N19" s="301">
        <f>M15+'MAR2022-R'!P21</f>
        <v>487743.3148636499</v>
      </c>
      <c r="O19" s="289">
        <f>O15+'MAR2022-R'!Q21</f>
        <v>759655.66</v>
      </c>
      <c r="P19" s="82">
        <f>P15+'MAR2022-R'!R21</f>
        <v>986.0518275625462</v>
      </c>
      <c r="Q19" s="291">
        <f>Q15+'FEB2022-R'!U21</f>
        <v>893665.1848636499</v>
      </c>
      <c r="R19" s="290">
        <f>R15+'MAR2022-R'!T21</f>
        <v>496570.51</v>
      </c>
      <c r="S19" s="290"/>
      <c r="T19" s="290"/>
      <c r="U19" s="291"/>
      <c r="V19" s="292">
        <f>V15+'MAR2022-R'!X21</f>
        <v>2463083.4699999997</v>
      </c>
      <c r="W19" s="293">
        <f>W15+'MAR2022-R'!Y21</f>
        <v>1966512.96</v>
      </c>
      <c r="X19" s="294">
        <f>X15+'IAN2022-R'!U21</f>
        <v>0</v>
      </c>
    </row>
    <row r="20" spans="3:23" ht="41.25" customHeight="1" thickBot="1">
      <c r="C20" s="246" t="s">
        <v>65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N20" s="585" t="s">
        <v>91</v>
      </c>
      <c r="O20" s="586"/>
      <c r="P20" s="206">
        <f>P16+'MAR2022-R'!R22</f>
        <v>272898.39</v>
      </c>
      <c r="Q20" s="282"/>
      <c r="R20" s="282"/>
      <c r="S20" s="282"/>
      <c r="T20" s="282"/>
      <c r="U20" s="282"/>
      <c r="V20" s="330" t="s">
        <v>41</v>
      </c>
      <c r="W20" s="331">
        <v>986.05</v>
      </c>
    </row>
    <row r="21" spans="2:23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279" t="s">
        <v>70</v>
      </c>
      <c r="W21" s="234">
        <f>V19-2273900</f>
        <v>189183.46999999974</v>
      </c>
    </row>
    <row r="22" spans="2:23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59"/>
      <c r="R22" s="307"/>
      <c r="S22" s="307"/>
      <c r="T22" s="307"/>
      <c r="U22" s="307"/>
      <c r="V22" s="233" t="e">
        <f>#REF!</f>
        <v>#REF!</v>
      </c>
      <c r="W22" s="41" t="e">
        <f>W21-#REF!</f>
        <v>#REF!</v>
      </c>
    </row>
    <row r="23" spans="2:23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61" t="e">
        <f>C21+Q21-K22</f>
        <v>#REF!</v>
      </c>
      <c r="R23" s="308"/>
      <c r="S23" s="308"/>
      <c r="T23" s="308"/>
      <c r="U23" s="308"/>
      <c r="V23" s="232">
        <v>667000</v>
      </c>
      <c r="W23" s="211"/>
    </row>
    <row r="24" spans="2:23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5"/>
      <c r="R24" s="309"/>
      <c r="S24" s="309"/>
      <c r="T24" s="309"/>
      <c r="U24" s="309"/>
      <c r="V24" s="116" t="e">
        <f>V22-V23</f>
        <v>#REF!</v>
      </c>
      <c r="W24" s="36"/>
    </row>
    <row r="25" spans="2:23" ht="19.5" customHeight="1" hidden="1" thickBot="1">
      <c r="B25" s="188"/>
      <c r="C25" s="214">
        <v>72293.07</v>
      </c>
      <c r="D25" s="215"/>
      <c r="E25" s="215">
        <v>3323950</v>
      </c>
      <c r="Q25" s="2"/>
      <c r="R25" s="71"/>
      <c r="S25" s="71"/>
      <c r="T25" s="71"/>
      <c r="U25" s="71"/>
      <c r="V25" s="116"/>
      <c r="W25" s="36"/>
    </row>
    <row r="26" spans="2:23" ht="25.5" customHeight="1" hidden="1" thickBot="1">
      <c r="B26" s="217"/>
      <c r="C26" s="218">
        <v>3982180</v>
      </c>
      <c r="Q26" s="152">
        <v>3982180</v>
      </c>
      <c r="R26" s="310"/>
      <c r="S26" s="310"/>
      <c r="T26" s="310"/>
      <c r="U26" s="310"/>
      <c r="V26" s="210"/>
      <c r="W26" s="212"/>
    </row>
    <row r="27" spans="2:23" ht="15" customHeight="1" thickBot="1">
      <c r="B27" s="188"/>
      <c r="C27" s="220"/>
      <c r="D27" s="221"/>
      <c r="E27" s="222"/>
      <c r="V27" s="210"/>
      <c r="W27" s="100"/>
    </row>
    <row r="28" spans="2:22" ht="25.5" customHeight="1" thickBot="1">
      <c r="B28" s="223" t="s">
        <v>60</v>
      </c>
      <c r="C28" s="244" t="s">
        <v>81</v>
      </c>
      <c r="D28" s="247" t="s">
        <v>82</v>
      </c>
      <c r="E28" s="183"/>
      <c r="F28" s="302"/>
      <c r="G28" s="302"/>
      <c r="H28" s="302"/>
      <c r="I28" s="302"/>
      <c r="J28" s="302"/>
      <c r="K28" s="302"/>
      <c r="L28" s="216"/>
      <c r="M28" s="216"/>
      <c r="N28" s="216"/>
      <c r="O28" s="216"/>
      <c r="P28" s="216"/>
      <c r="Q28" s="243"/>
      <c r="R28" s="304"/>
      <c r="S28" s="304"/>
      <c r="T28" s="304"/>
      <c r="U28" s="304"/>
      <c r="V28" s="227">
        <v>44677</v>
      </c>
    </row>
    <row r="29" spans="2:3" ht="25.5" customHeight="1" thickBot="1">
      <c r="B29" s="326" t="s">
        <v>92</v>
      </c>
      <c r="C29" s="327" t="s">
        <v>93</v>
      </c>
    </row>
    <row r="30" spans="2:5" ht="25.5" customHeight="1" thickBot="1">
      <c r="B30" s="328" t="s">
        <v>94</v>
      </c>
      <c r="C30" s="329">
        <f>1773.9+500</f>
        <v>2273.9</v>
      </c>
      <c r="E30" s="26">
        <f>E19+K19+N19</f>
        <v>1694600.6148636497</v>
      </c>
    </row>
  </sheetData>
  <sheetProtection/>
  <mergeCells count="5">
    <mergeCell ref="G20:I20"/>
    <mergeCell ref="N20:O20"/>
    <mergeCell ref="J16:K16"/>
    <mergeCell ref="J17:K17"/>
    <mergeCell ref="J20:K20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T69"/>
  <sheetViews>
    <sheetView workbookViewId="0" topLeftCell="A4">
      <pane xSplit="4845" topLeftCell="E1" activePane="topRight" state="split"/>
      <selection pane="topLeft" activeCell="Y16" sqref="Y16"/>
      <selection pane="topRight" activeCell="P4" sqref="P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75390625" style="69" bestFit="1" customWidth="1"/>
    <col min="4" max="4" width="8.625" style="2" bestFit="1" customWidth="1"/>
    <col min="5" max="5" width="8.75390625" style="26" bestFit="1" customWidth="1"/>
    <col min="6" max="6" width="9.00390625" style="2" bestFit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9.00390625" style="69" customWidth="1"/>
    <col min="11" max="11" width="8.875" style="21" bestFit="1" customWidth="1"/>
    <col min="12" max="13" width="9.25390625" style="67" customWidth="1"/>
    <col min="14" max="14" width="8.625" style="21" bestFit="1" customWidth="1"/>
    <col min="15" max="15" width="8.00390625" style="21" customWidth="1"/>
    <col min="16" max="16" width="9.25390625" style="21" customWidth="1"/>
    <col min="17" max="17" width="9.50390625" style="67" hidden="1" customWidth="1"/>
    <col min="18" max="18" width="8.50390625" style="67" hidden="1" customWidth="1"/>
    <col min="19" max="19" width="8.875" style="67" hidden="1" customWidth="1"/>
    <col min="20" max="20" width="8.625" style="67" hidden="1" customWidth="1"/>
    <col min="21" max="21" width="10.125" style="8" customWidth="1"/>
    <col min="22" max="22" width="10.875" style="26" customWidth="1"/>
    <col min="23" max="23" width="10.625" style="2" customWidth="1"/>
    <col min="24" max="24" width="10.625" style="1" customWidth="1"/>
    <col min="25" max="25" width="11.25390625" style="1" customWidth="1"/>
    <col min="26" max="16384" width="9.00390625" style="1" customWidth="1"/>
  </cols>
  <sheetData>
    <row r="1" spans="1:23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73"/>
      <c r="T1" s="73"/>
      <c r="U1" s="12"/>
      <c r="V1" s="25"/>
      <c r="W1" s="13"/>
    </row>
    <row r="2" ht="43.5" customHeight="1">
      <c r="A2" s="8"/>
    </row>
    <row r="3" spans="1:23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73"/>
      <c r="T3" s="73"/>
      <c r="U3" s="12"/>
      <c r="V3" s="25"/>
      <c r="W3" s="13"/>
    </row>
    <row r="4" spans="1:24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38</v>
      </c>
      <c r="O4" s="130" t="s">
        <v>76</v>
      </c>
      <c r="P4" s="132" t="s">
        <v>77</v>
      </c>
      <c r="Q4" s="37" t="s">
        <v>32</v>
      </c>
      <c r="R4" s="72" t="s">
        <v>49</v>
      </c>
      <c r="S4" s="129" t="s">
        <v>45</v>
      </c>
      <c r="T4" s="129" t="s">
        <v>46</v>
      </c>
      <c r="U4" s="185" t="s">
        <v>58</v>
      </c>
      <c r="V4" s="225" t="s">
        <v>59</v>
      </c>
      <c r="W4" s="219" t="s">
        <v>55</v>
      </c>
      <c r="X4" s="96" t="s">
        <v>72</v>
      </c>
    </row>
    <row r="5" spans="1:24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/>
      <c r="R5" s="32"/>
      <c r="S5" s="32"/>
      <c r="T5" s="32"/>
      <c r="U5" s="78">
        <f>E5+K5+P5</f>
        <v>299313.36</v>
      </c>
      <c r="V5" s="235">
        <f>U5</f>
        <v>299313.36</v>
      </c>
      <c r="W5" s="148">
        <f>E5+K5</f>
        <v>198257</v>
      </c>
      <c r="X5" s="86">
        <f>O5-L5</f>
        <v>-10.360000000000582</v>
      </c>
    </row>
    <row r="6" spans="1:24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M6*M22/100</f>
        <v>932.8474925512335</v>
      </c>
      <c r="P6" s="298">
        <f>N6+O6</f>
        <v>42328.427492551236</v>
      </c>
      <c r="Q6" s="45"/>
      <c r="R6" s="204"/>
      <c r="S6" s="32"/>
      <c r="T6" s="32"/>
      <c r="U6" s="77">
        <f>E6+K6+P6</f>
        <v>148895.42749255124</v>
      </c>
      <c r="V6" s="236">
        <f>U6</f>
        <v>148895.42749255124</v>
      </c>
      <c r="W6" s="149">
        <f>E6+K6</f>
        <v>106567</v>
      </c>
      <c r="X6" s="87">
        <f>O6</f>
        <v>932.8474925512335</v>
      </c>
    </row>
    <row r="7" spans="1:24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>H7+I7</f>
        <v>24417.97084145799</v>
      </c>
      <c r="K7" s="45">
        <v>60930</v>
      </c>
      <c r="L7" s="204">
        <f aca="true" t="shared" si="0" ref="L7:L19">J7-K7</f>
        <v>-36512.029158542005</v>
      </c>
      <c r="M7" s="268">
        <f>(C7+E7+K7)/14</f>
        <v>98266.42857142857</v>
      </c>
      <c r="N7" s="33">
        <v>21553</v>
      </c>
      <c r="O7" s="268">
        <f>M7*M22/100</f>
        <v>1787.9381996259417</v>
      </c>
      <c r="P7" s="298">
        <f aca="true" t="shared" si="1" ref="P7:P19">N7+O7</f>
        <v>23340.93819962594</v>
      </c>
      <c r="Q7" s="45"/>
      <c r="R7" s="204"/>
      <c r="S7" s="32"/>
      <c r="T7" s="32"/>
      <c r="U7" s="77">
        <f aca="true" t="shared" si="2" ref="U7:U19">E7+K7+P7</f>
        <v>155550.93819962593</v>
      </c>
      <c r="V7" s="236">
        <f>U7</f>
        <v>155550.93819962593</v>
      </c>
      <c r="W7" s="149">
        <f aca="true" t="shared" si="3" ref="W7:W19">E7+K7</f>
        <v>132210</v>
      </c>
      <c r="X7" s="87">
        <f>O7</f>
        <v>1787.9381996259417</v>
      </c>
    </row>
    <row r="8" spans="1:24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>D8-E8</f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>H8+I8+1121.78</f>
        <v>12357.004863649889</v>
      </c>
      <c r="K8" s="45">
        <v>12357</v>
      </c>
      <c r="L8" s="32">
        <f t="shared" si="0"/>
        <v>0.0048636498886480695</v>
      </c>
      <c r="M8" s="268">
        <f>(C8+E8+K8)/14</f>
        <v>13134.07142857143</v>
      </c>
      <c r="N8" s="33">
        <f>11966.32-1121.78</f>
        <v>10844.539999999999</v>
      </c>
      <c r="O8" s="268">
        <f>M8*M22/100</f>
        <v>238.97182756254446</v>
      </c>
      <c r="P8" s="298">
        <f t="shared" si="1"/>
        <v>11083.511827562543</v>
      </c>
      <c r="Q8" s="45"/>
      <c r="R8" s="32"/>
      <c r="S8" s="32"/>
      <c r="T8" s="32"/>
      <c r="U8" s="77">
        <f t="shared" si="2"/>
        <v>36577.51182756254</v>
      </c>
      <c r="V8" s="236">
        <f>U8</f>
        <v>36577.51182756254</v>
      </c>
      <c r="W8" s="149">
        <f t="shared" si="3"/>
        <v>25494</v>
      </c>
      <c r="X8" s="87">
        <f>O8</f>
        <v>238.97182756254446</v>
      </c>
    </row>
    <row r="9" spans="1:24" s="5" customFormat="1" ht="26.25" customHeigh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>D9-E9</f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>H9+I9+669.26</f>
        <v>7429.99983933246</v>
      </c>
      <c r="K9" s="45">
        <v>7745</v>
      </c>
      <c r="L9" s="204">
        <f t="shared" si="0"/>
        <v>-315.0001606675396</v>
      </c>
      <c r="M9" s="268">
        <f>(C9+E9+K9)/14</f>
        <v>7917.5</v>
      </c>
      <c r="N9" s="33">
        <f>7170.08-669.26</f>
        <v>6500.82</v>
      </c>
      <c r="O9" s="268">
        <f>M9*M22/100</f>
        <v>144.05734391016952</v>
      </c>
      <c r="P9" s="298">
        <f t="shared" si="1"/>
        <v>6644.87734391017</v>
      </c>
      <c r="Q9" s="45"/>
      <c r="R9" s="204"/>
      <c r="S9" s="32"/>
      <c r="T9" s="32"/>
      <c r="U9" s="77">
        <f t="shared" si="2"/>
        <v>22114.87734391017</v>
      </c>
      <c r="V9" s="236">
        <f>U9</f>
        <v>22114.87734391017</v>
      </c>
      <c r="W9" s="149">
        <f t="shared" si="3"/>
        <v>15470</v>
      </c>
      <c r="X9" s="87">
        <f>O9</f>
        <v>144.05734391016952</v>
      </c>
    </row>
    <row r="10" spans="1:24" s="5" customFormat="1" ht="20.25" customHeight="1">
      <c r="A10" s="4"/>
      <c r="B10" s="125" t="s">
        <v>1</v>
      </c>
      <c r="C10" s="47">
        <v>3105146</v>
      </c>
      <c r="D10" s="47">
        <f>SUM(D5:D9)</f>
        <v>185273.01</v>
      </c>
      <c r="E10" s="47">
        <f>SUM(E5:E9)</f>
        <v>243687</v>
      </c>
      <c r="F10" s="47">
        <f>F5+F8</f>
        <v>4125.550000000003</v>
      </c>
      <c r="G10" s="47">
        <f aca="true" t="shared" si="4" ref="G10:X10">SUM(G5:G9)</f>
        <v>173459</v>
      </c>
      <c r="H10" s="47">
        <f t="shared" si="4"/>
        <v>181276.47</v>
      </c>
      <c r="I10" s="47">
        <f t="shared" si="4"/>
        <v>5312.620000000002</v>
      </c>
      <c r="J10" s="47">
        <f t="shared" si="4"/>
        <v>188535.34</v>
      </c>
      <c r="K10" s="47">
        <f t="shared" si="4"/>
        <v>234311</v>
      </c>
      <c r="L10" s="47">
        <f>L5+L8</f>
        <v>10.36486364988923</v>
      </c>
      <c r="M10" s="47">
        <f t="shared" si="4"/>
        <v>170588</v>
      </c>
      <c r="N10" s="47">
        <f t="shared" si="4"/>
        <v>181350.30000000002</v>
      </c>
      <c r="O10" s="47">
        <f t="shared" si="4"/>
        <v>3103.8148636498895</v>
      </c>
      <c r="P10" s="47">
        <f t="shared" si="4"/>
        <v>184454.11486364988</v>
      </c>
      <c r="Q10" s="47">
        <f>SUM(Q5:Q9)</f>
        <v>0</v>
      </c>
      <c r="R10" s="47">
        <f>SUM(R5:R9)</f>
        <v>0</v>
      </c>
      <c r="S10" s="47">
        <f>SUM(S5:S9)</f>
        <v>0</v>
      </c>
      <c r="T10" s="47">
        <f>SUM(T5:T9)</f>
        <v>0</v>
      </c>
      <c r="U10" s="47">
        <f>SUM(U5:U9)</f>
        <v>662452.11486365</v>
      </c>
      <c r="V10" s="47">
        <f t="shared" si="4"/>
        <v>662452.11486365</v>
      </c>
      <c r="W10" s="47">
        <f t="shared" si="4"/>
        <v>477998</v>
      </c>
      <c r="X10" s="47">
        <f t="shared" si="4"/>
        <v>3093.454863649889</v>
      </c>
    </row>
    <row r="11" spans="1:24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aca="true" t="shared" si="5" ref="F11:F19">D11-E11</f>
        <v>0</v>
      </c>
      <c r="G11" s="32"/>
      <c r="H11" s="24">
        <v>0</v>
      </c>
      <c r="I11" s="23"/>
      <c r="J11" s="181">
        <f aca="true" t="shared" si="6" ref="J11:J19">H11+I11</f>
        <v>0</v>
      </c>
      <c r="K11" s="45"/>
      <c r="L11" s="32">
        <f t="shared" si="0"/>
        <v>0</v>
      </c>
      <c r="M11" s="32"/>
      <c r="N11" s="33">
        <v>0</v>
      </c>
      <c r="O11" s="32"/>
      <c r="P11" s="298">
        <f t="shared" si="1"/>
        <v>0</v>
      </c>
      <c r="Q11" s="45"/>
      <c r="R11" s="32"/>
      <c r="S11" s="32"/>
      <c r="T11" s="32"/>
      <c r="U11" s="77">
        <f t="shared" si="2"/>
        <v>0</v>
      </c>
      <c r="V11" s="236">
        <f aca="true" t="shared" si="7" ref="V11:V19">U11</f>
        <v>0</v>
      </c>
      <c r="W11" s="149">
        <f t="shared" si="3"/>
        <v>0</v>
      </c>
      <c r="X11" s="87"/>
    </row>
    <row r="12" spans="1:24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5"/>
        <v>12.069999999999936</v>
      </c>
      <c r="G12" s="32"/>
      <c r="H12" s="24">
        <v>1268.31</v>
      </c>
      <c r="I12" s="23"/>
      <c r="J12" s="181">
        <f t="shared" si="6"/>
        <v>1268.31</v>
      </c>
      <c r="K12" s="45">
        <v>1260</v>
      </c>
      <c r="L12" s="32">
        <f t="shared" si="0"/>
        <v>8.309999999999945</v>
      </c>
      <c r="M12" s="32"/>
      <c r="N12" s="33">
        <v>1268.31</v>
      </c>
      <c r="O12" s="32"/>
      <c r="P12" s="298">
        <f t="shared" si="1"/>
        <v>1268.31</v>
      </c>
      <c r="Q12" s="45"/>
      <c r="R12" s="32"/>
      <c r="S12" s="32"/>
      <c r="T12" s="32"/>
      <c r="U12" s="77">
        <f t="shared" si="2"/>
        <v>3788.31</v>
      </c>
      <c r="V12" s="236">
        <f t="shared" si="7"/>
        <v>3788.31</v>
      </c>
      <c r="W12" s="149">
        <f t="shared" si="3"/>
        <v>2520</v>
      </c>
      <c r="X12" s="87">
        <f>O12-L12</f>
        <v>-8.309999999999945</v>
      </c>
    </row>
    <row r="13" spans="1:24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5"/>
        <v>3.3099999999999454</v>
      </c>
      <c r="G13" s="32"/>
      <c r="H13" s="24">
        <v>721.18</v>
      </c>
      <c r="I13" s="23"/>
      <c r="J13" s="181">
        <f t="shared" si="6"/>
        <v>721.18</v>
      </c>
      <c r="K13" s="45">
        <v>720</v>
      </c>
      <c r="L13" s="32">
        <f t="shared" si="0"/>
        <v>1.17999999999995</v>
      </c>
      <c r="M13" s="32"/>
      <c r="N13" s="33">
        <v>721.18</v>
      </c>
      <c r="O13" s="32"/>
      <c r="P13" s="298">
        <f t="shared" si="1"/>
        <v>721.18</v>
      </c>
      <c r="Q13" s="45"/>
      <c r="R13" s="32"/>
      <c r="S13" s="32"/>
      <c r="T13" s="32"/>
      <c r="U13" s="77">
        <f t="shared" si="2"/>
        <v>2161.18</v>
      </c>
      <c r="V13" s="236">
        <f t="shared" si="7"/>
        <v>2161.18</v>
      </c>
      <c r="W13" s="149">
        <f t="shared" si="3"/>
        <v>1440</v>
      </c>
      <c r="X13" s="87">
        <f aca="true" t="shared" si="8" ref="X13:X19">O13-L13</f>
        <v>-1.17999999999995</v>
      </c>
    </row>
    <row r="14" spans="1:24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5"/>
        <v>57.379999999999995</v>
      </c>
      <c r="G14" s="32"/>
      <c r="H14" s="24">
        <v>894.73</v>
      </c>
      <c r="I14" s="23"/>
      <c r="J14" s="181">
        <f t="shared" si="6"/>
        <v>894.73</v>
      </c>
      <c r="K14" s="45">
        <v>840</v>
      </c>
      <c r="L14" s="32">
        <f t="shared" si="0"/>
        <v>54.73000000000002</v>
      </c>
      <c r="M14" s="32"/>
      <c r="N14" s="33">
        <v>894.73</v>
      </c>
      <c r="O14" s="32"/>
      <c r="P14" s="298">
        <f t="shared" si="1"/>
        <v>894.73</v>
      </c>
      <c r="Q14" s="45"/>
      <c r="R14" s="32"/>
      <c r="S14" s="32"/>
      <c r="T14" s="32"/>
      <c r="U14" s="77">
        <f t="shared" si="2"/>
        <v>2574.73</v>
      </c>
      <c r="V14" s="236">
        <f t="shared" si="7"/>
        <v>2574.73</v>
      </c>
      <c r="W14" s="149">
        <f t="shared" si="3"/>
        <v>1680</v>
      </c>
      <c r="X14" s="87">
        <f t="shared" si="8"/>
        <v>-54.73000000000002</v>
      </c>
    </row>
    <row r="15" spans="1:24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5"/>
        <v>70.20000000000005</v>
      </c>
      <c r="G15" s="32"/>
      <c r="H15" s="24">
        <v>728.04</v>
      </c>
      <c r="I15" s="23"/>
      <c r="J15" s="181">
        <f t="shared" si="6"/>
        <v>728.04</v>
      </c>
      <c r="K15" s="45">
        <v>720</v>
      </c>
      <c r="L15" s="32">
        <f t="shared" si="0"/>
        <v>8.039999999999964</v>
      </c>
      <c r="M15" s="32"/>
      <c r="N15" s="33">
        <v>728.04</v>
      </c>
      <c r="O15" s="32"/>
      <c r="P15" s="298">
        <f t="shared" si="1"/>
        <v>728.04</v>
      </c>
      <c r="Q15" s="45"/>
      <c r="R15" s="32"/>
      <c r="S15" s="32"/>
      <c r="T15" s="32"/>
      <c r="U15" s="77">
        <f t="shared" si="2"/>
        <v>2108.04</v>
      </c>
      <c r="V15" s="236">
        <f t="shared" si="7"/>
        <v>2108.04</v>
      </c>
      <c r="W15" s="149">
        <f t="shared" si="3"/>
        <v>1380</v>
      </c>
      <c r="X15" s="87">
        <f t="shared" si="8"/>
        <v>-8.039999999999964</v>
      </c>
    </row>
    <row r="16" spans="1:24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5"/>
        <v>0.2699999999999818</v>
      </c>
      <c r="G16" s="32"/>
      <c r="H16" s="24">
        <v>2647.42</v>
      </c>
      <c r="I16" s="24"/>
      <c r="J16" s="181">
        <f t="shared" si="6"/>
        <v>2647.42</v>
      </c>
      <c r="K16" s="74">
        <v>2640</v>
      </c>
      <c r="L16" s="32">
        <f t="shared" si="0"/>
        <v>7.420000000000073</v>
      </c>
      <c r="M16" s="32"/>
      <c r="N16" s="33">
        <v>2647.42</v>
      </c>
      <c r="O16" s="32"/>
      <c r="P16" s="298">
        <f t="shared" si="1"/>
        <v>2647.42</v>
      </c>
      <c r="Q16" s="45"/>
      <c r="R16" s="32"/>
      <c r="S16" s="32"/>
      <c r="T16" s="32"/>
      <c r="U16" s="77">
        <f t="shared" si="2"/>
        <v>7942.42</v>
      </c>
      <c r="V16" s="236">
        <f t="shared" si="7"/>
        <v>7942.42</v>
      </c>
      <c r="W16" s="149">
        <f t="shared" si="3"/>
        <v>5295</v>
      </c>
      <c r="X16" s="87">
        <f t="shared" si="8"/>
        <v>-7.420000000000073</v>
      </c>
    </row>
    <row r="17" spans="1:24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5"/>
        <v>31.070000000000164</v>
      </c>
      <c r="G17" s="32"/>
      <c r="H17" s="24">
        <v>2304.23</v>
      </c>
      <c r="I17" s="23"/>
      <c r="J17" s="181">
        <f t="shared" si="6"/>
        <v>2304.23</v>
      </c>
      <c r="K17" s="45">
        <v>0</v>
      </c>
      <c r="L17" s="32">
        <f t="shared" si="0"/>
        <v>2304.23</v>
      </c>
      <c r="M17" s="32"/>
      <c r="N17" s="33">
        <v>2304.23</v>
      </c>
      <c r="O17" s="32"/>
      <c r="P17" s="298">
        <f t="shared" si="1"/>
        <v>2304.23</v>
      </c>
      <c r="Q17" s="45"/>
      <c r="R17" s="32"/>
      <c r="S17" s="32"/>
      <c r="T17" s="32"/>
      <c r="U17" s="77">
        <f t="shared" si="2"/>
        <v>4584.23</v>
      </c>
      <c r="V17" s="236">
        <f t="shared" si="7"/>
        <v>4584.23</v>
      </c>
      <c r="W17" s="149">
        <f t="shared" si="3"/>
        <v>2280</v>
      </c>
      <c r="X17" s="87">
        <f t="shared" si="8"/>
        <v>-2304.23</v>
      </c>
    </row>
    <row r="18" spans="1:24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5"/>
        <v>1005.98</v>
      </c>
      <c r="G18" s="32"/>
      <c r="H18" s="24">
        <v>1421.76</v>
      </c>
      <c r="I18" s="23"/>
      <c r="J18" s="181">
        <f t="shared" si="6"/>
        <v>1421.76</v>
      </c>
      <c r="K18" s="45">
        <v>720</v>
      </c>
      <c r="L18" s="32">
        <f t="shared" si="0"/>
        <v>701.76</v>
      </c>
      <c r="M18" s="32"/>
      <c r="N18" s="33">
        <v>1421.76</v>
      </c>
      <c r="O18" s="32"/>
      <c r="P18" s="298">
        <f t="shared" si="1"/>
        <v>1421.76</v>
      </c>
      <c r="Q18" s="45"/>
      <c r="R18" s="32"/>
      <c r="S18" s="32"/>
      <c r="T18" s="32"/>
      <c r="U18" s="77">
        <f t="shared" si="2"/>
        <v>2561.76</v>
      </c>
      <c r="V18" s="236">
        <f t="shared" si="7"/>
        <v>2561.76</v>
      </c>
      <c r="W18" s="149">
        <f t="shared" si="3"/>
        <v>1140</v>
      </c>
      <c r="X18" s="87">
        <f t="shared" si="8"/>
        <v>-701.76</v>
      </c>
    </row>
    <row r="19" spans="1:24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5"/>
        <v>6.789999999999964</v>
      </c>
      <c r="G19" s="63"/>
      <c r="H19" s="30">
        <v>4717.78</v>
      </c>
      <c r="I19" s="54"/>
      <c r="J19" s="260">
        <f t="shared" si="6"/>
        <v>4717.78</v>
      </c>
      <c r="K19" s="46">
        <v>4710</v>
      </c>
      <c r="L19" s="32">
        <f t="shared" si="0"/>
        <v>7.779999999999745</v>
      </c>
      <c r="M19" s="63"/>
      <c r="N19" s="34">
        <v>4717.78</v>
      </c>
      <c r="O19" s="63"/>
      <c r="P19" s="298">
        <f t="shared" si="1"/>
        <v>4717.78</v>
      </c>
      <c r="Q19" s="46"/>
      <c r="R19" s="63"/>
      <c r="S19" s="63"/>
      <c r="T19" s="63"/>
      <c r="U19" s="77">
        <f t="shared" si="2"/>
        <v>14152.779999999999</v>
      </c>
      <c r="V19" s="236">
        <f t="shared" si="7"/>
        <v>14152.779999999999</v>
      </c>
      <c r="W19" s="149">
        <f t="shared" si="3"/>
        <v>9435</v>
      </c>
      <c r="X19" s="87">
        <f t="shared" si="8"/>
        <v>-7.779999999999745</v>
      </c>
    </row>
    <row r="20" spans="1:24" s="10" customFormat="1" ht="23.25" customHeight="1">
      <c r="A20" s="64"/>
      <c r="B20" s="126" t="s">
        <v>12</v>
      </c>
      <c r="C20" s="48">
        <v>185230</v>
      </c>
      <c r="D20" s="48">
        <f aca="true" t="shared" si="9" ref="D20:X20">SUM(D11:D19)</f>
        <v>14747.07</v>
      </c>
      <c r="E20" s="48">
        <f t="shared" si="9"/>
        <v>13560</v>
      </c>
      <c r="F20" s="48">
        <f t="shared" si="9"/>
        <v>1187.0700000000002</v>
      </c>
      <c r="G20" s="48">
        <f t="shared" si="9"/>
        <v>0</v>
      </c>
      <c r="H20" s="48">
        <f t="shared" si="9"/>
        <v>14703.45</v>
      </c>
      <c r="I20" s="48">
        <f t="shared" si="9"/>
        <v>0</v>
      </c>
      <c r="J20" s="48">
        <f t="shared" si="9"/>
        <v>14703.45</v>
      </c>
      <c r="K20" s="48">
        <f t="shared" si="9"/>
        <v>11610</v>
      </c>
      <c r="L20" s="48">
        <f t="shared" si="9"/>
        <v>3093.45</v>
      </c>
      <c r="M20" s="48">
        <f t="shared" si="9"/>
        <v>0</v>
      </c>
      <c r="N20" s="48">
        <f t="shared" si="9"/>
        <v>14703.45</v>
      </c>
      <c r="O20" s="48">
        <f t="shared" si="9"/>
        <v>0</v>
      </c>
      <c r="P20" s="48">
        <f>SUM(P11:P19)</f>
        <v>14703.45</v>
      </c>
      <c r="Q20" s="48">
        <f>SUM(Q11:Q19)</f>
        <v>0</v>
      </c>
      <c r="R20" s="48">
        <f>SUM(R11:R19)</f>
        <v>0</v>
      </c>
      <c r="S20" s="48">
        <f>SUM(S11:S19)</f>
        <v>0</v>
      </c>
      <c r="T20" s="48">
        <f>SUM(T11:T19)</f>
        <v>0</v>
      </c>
      <c r="U20" s="48">
        <f t="shared" si="9"/>
        <v>39873.45</v>
      </c>
      <c r="V20" s="48">
        <f t="shared" si="9"/>
        <v>39873.45</v>
      </c>
      <c r="W20" s="237">
        <f t="shared" si="9"/>
        <v>25170</v>
      </c>
      <c r="X20" s="48">
        <f t="shared" si="9"/>
        <v>-3093.45</v>
      </c>
    </row>
    <row r="21" spans="1:24" s="10" customFormat="1" ht="20.25" customHeight="1" thickBot="1">
      <c r="A21" s="65"/>
      <c r="B21" s="127" t="s">
        <v>43</v>
      </c>
      <c r="C21" s="49">
        <v>3290376</v>
      </c>
      <c r="D21" s="49">
        <f aca="true" t="shared" si="10" ref="D21:X21">D10+D20</f>
        <v>200020.08000000002</v>
      </c>
      <c r="E21" s="49">
        <f t="shared" si="10"/>
        <v>257247</v>
      </c>
      <c r="F21" s="151">
        <f t="shared" si="10"/>
        <v>5312.620000000003</v>
      </c>
      <c r="G21" s="49">
        <f t="shared" si="10"/>
        <v>173459</v>
      </c>
      <c r="H21" s="49">
        <f t="shared" si="10"/>
        <v>195979.92</v>
      </c>
      <c r="I21" s="151">
        <f t="shared" si="10"/>
        <v>5312.620000000002</v>
      </c>
      <c r="J21" s="49">
        <f t="shared" si="10"/>
        <v>203238.79</v>
      </c>
      <c r="K21" s="49">
        <f t="shared" si="10"/>
        <v>245921</v>
      </c>
      <c r="L21" s="151">
        <f t="shared" si="10"/>
        <v>3103.814863649889</v>
      </c>
      <c r="M21" s="49">
        <f t="shared" si="10"/>
        <v>170588</v>
      </c>
      <c r="N21" s="49">
        <f t="shared" si="10"/>
        <v>196053.75000000003</v>
      </c>
      <c r="O21" s="151">
        <f t="shared" si="10"/>
        <v>3103.8148636498895</v>
      </c>
      <c r="P21" s="49">
        <f>P10+P20</f>
        <v>199157.5648636499</v>
      </c>
      <c r="Q21" s="49">
        <f>Q10+Q20</f>
        <v>0</v>
      </c>
      <c r="R21" s="49">
        <f>R10+R20</f>
        <v>0</v>
      </c>
      <c r="S21" s="49">
        <f>S10+S20</f>
        <v>0</v>
      </c>
      <c r="T21" s="49">
        <f>T10+T20</f>
        <v>0</v>
      </c>
      <c r="U21" s="49">
        <f t="shared" si="10"/>
        <v>702325.5648636499</v>
      </c>
      <c r="V21" s="49">
        <f t="shared" si="10"/>
        <v>702325.5648636499</v>
      </c>
      <c r="W21" s="143">
        <f t="shared" si="10"/>
        <v>503168</v>
      </c>
      <c r="X21" s="49">
        <f t="shared" si="10"/>
        <v>0.004863649889102817</v>
      </c>
    </row>
    <row r="22" spans="1:72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73" t="s">
        <v>73</v>
      </c>
      <c r="K22" s="274">
        <f>-(L6+L7+L9)</f>
        <v>45786.02486364989</v>
      </c>
      <c r="L22" s="131" t="s">
        <v>34</v>
      </c>
      <c r="M22" s="297">
        <f>L21*100/M21</f>
        <v>1.8194801883191603</v>
      </c>
      <c r="N22" s="257"/>
      <c r="O22" s="257"/>
      <c r="P22" s="257"/>
      <c r="Q22" s="258"/>
      <c r="R22" s="259">
        <f>-(R6+R7+R9)</f>
        <v>0</v>
      </c>
      <c r="S22" s="588" t="s">
        <v>48</v>
      </c>
      <c r="T22" s="588"/>
      <c r="U22" s="144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</row>
    <row r="23" spans="2:23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7"/>
      <c r="N23" s="578"/>
      <c r="O23" s="266"/>
      <c r="P23" s="266"/>
      <c r="Q23" s="253">
        <f>N22+R21</f>
        <v>0</v>
      </c>
      <c r="R23" s="192" t="s">
        <v>34</v>
      </c>
      <c r="S23" s="254" t="e">
        <f>Q23*100/S21</f>
        <v>#DIV/0!</v>
      </c>
      <c r="T23" s="115"/>
      <c r="U23" s="113"/>
      <c r="V23" s="229" t="e">
        <f>#REF!+#REF!+#REF!</f>
        <v>#REF!</v>
      </c>
      <c r="W23" s="80"/>
    </row>
    <row r="24" spans="2:23" s="100" customFormat="1" ht="33" customHeight="1" thickBot="1">
      <c r="B24" s="117"/>
      <c r="C24" s="94"/>
      <c r="D24" s="36"/>
      <c r="E24" s="88"/>
      <c r="F24" s="36"/>
      <c r="G24" s="36"/>
      <c r="H24" s="94"/>
      <c r="I24" s="94"/>
      <c r="J24" s="41"/>
      <c r="K24" s="579"/>
      <c r="L24" s="580"/>
      <c r="M24" s="296"/>
      <c r="N24" s="94"/>
      <c r="O24" s="94"/>
      <c r="P24" s="94"/>
      <c r="Q24" s="94"/>
      <c r="R24" s="94"/>
      <c r="S24" s="94"/>
      <c r="T24" s="94"/>
      <c r="U24" s="89"/>
      <c r="V24" s="88"/>
      <c r="W24" s="36"/>
    </row>
    <row r="25" spans="2:23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89"/>
      <c r="V25" s="88"/>
      <c r="W25" s="36"/>
    </row>
    <row r="26" spans="2:23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89"/>
      <c r="V26" s="88"/>
      <c r="W26" s="36"/>
    </row>
    <row r="27" spans="2:23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3"/>
      <c r="V27" s="120"/>
      <c r="W27" s="121"/>
    </row>
    <row r="28" spans="2:23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3"/>
      <c r="V28" s="103"/>
      <c r="W28" s="108"/>
    </row>
    <row r="29" spans="2:23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3"/>
      <c r="V29" s="153"/>
      <c r="W29" s="108"/>
    </row>
    <row r="30" spans="2:23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88"/>
      <c r="V30" s="103"/>
      <c r="W30" s="108"/>
    </row>
    <row r="31" spans="2:23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89"/>
      <c r="V31" s="88"/>
      <c r="W31" s="36"/>
    </row>
    <row r="32" spans="2:23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89"/>
      <c r="V32" s="88"/>
      <c r="W32" s="36"/>
    </row>
    <row r="33" spans="2:23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89"/>
      <c r="V33" s="88"/>
      <c r="W33" s="36"/>
    </row>
    <row r="34" spans="2:23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89"/>
      <c r="V34" s="88"/>
      <c r="W34" s="36"/>
    </row>
    <row r="35" spans="2:23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89"/>
      <c r="V35" s="88"/>
      <c r="W35" s="36"/>
    </row>
    <row r="36" spans="2:23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9"/>
      <c r="V36" s="88"/>
      <c r="W36" s="36"/>
    </row>
    <row r="37" spans="2:23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89"/>
      <c r="V37" s="88"/>
      <c r="W37" s="36"/>
    </row>
    <row r="38" spans="2:23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89"/>
      <c r="V38" s="88"/>
      <c r="W38" s="36"/>
    </row>
    <row r="39" spans="2:23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89"/>
      <c r="V39" s="88"/>
      <c r="W39" s="36"/>
    </row>
    <row r="40" spans="2:23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89"/>
      <c r="V40" s="88"/>
      <c r="W40" s="36"/>
    </row>
    <row r="41" spans="2:23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89"/>
      <c r="V41" s="88"/>
      <c r="W41" s="36"/>
    </row>
    <row r="42" spans="2:23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89"/>
      <c r="V42" s="88"/>
      <c r="W42" s="36"/>
    </row>
    <row r="43" spans="2:23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89"/>
      <c r="V43" s="88"/>
      <c r="W43" s="36"/>
    </row>
    <row r="44" spans="2:23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89"/>
      <c r="V44" s="88"/>
      <c r="W44" s="36"/>
    </row>
    <row r="45" spans="2:23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89"/>
      <c r="V45" s="88"/>
      <c r="W45" s="36"/>
    </row>
    <row r="46" spans="2:23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89"/>
      <c r="V46" s="88"/>
      <c r="W46" s="36"/>
    </row>
    <row r="47" spans="2:23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89"/>
      <c r="V47" s="88"/>
      <c r="W47" s="36"/>
    </row>
    <row r="48" spans="2:23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9"/>
      <c r="V48" s="88"/>
      <c r="W48" s="36"/>
    </row>
    <row r="49" spans="2:23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89"/>
      <c r="V49" s="88"/>
      <c r="W49" s="36"/>
    </row>
    <row r="50" spans="2:23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89"/>
      <c r="V50" s="88"/>
      <c r="W50" s="36"/>
    </row>
    <row r="51" spans="2:23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89"/>
      <c r="V51" s="88"/>
      <c r="W51" s="36"/>
    </row>
    <row r="52" spans="2:23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89"/>
      <c r="V52" s="88"/>
      <c r="W52" s="36"/>
    </row>
    <row r="53" spans="2:23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89"/>
      <c r="V53" s="88"/>
      <c r="W53" s="36"/>
    </row>
    <row r="54" spans="2:23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89"/>
      <c r="V54" s="88"/>
      <c r="W54" s="36"/>
    </row>
    <row r="55" spans="2:23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89"/>
      <c r="V55" s="88"/>
      <c r="W55" s="36"/>
    </row>
    <row r="56" spans="2:23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89"/>
      <c r="V56" s="88"/>
      <c r="W56" s="36"/>
    </row>
    <row r="57" spans="2:23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89"/>
      <c r="V57" s="88"/>
      <c r="W57" s="36"/>
    </row>
    <row r="58" spans="2:23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89"/>
      <c r="V58" s="88"/>
      <c r="W58" s="36"/>
    </row>
    <row r="59" spans="2:23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89"/>
      <c r="V59" s="88"/>
      <c r="W59" s="36"/>
    </row>
    <row r="60" spans="2:23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89"/>
      <c r="V60" s="88"/>
      <c r="W60" s="36"/>
    </row>
    <row r="61" spans="2:23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89"/>
      <c r="V61" s="88"/>
      <c r="W61" s="36"/>
    </row>
    <row r="62" spans="2:23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9"/>
      <c r="V62" s="88"/>
      <c r="W62" s="36"/>
    </row>
    <row r="63" spans="2:23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89"/>
      <c r="V63" s="88"/>
      <c r="W63" s="36"/>
    </row>
    <row r="64" spans="2:23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89"/>
      <c r="V64" s="88"/>
      <c r="W64" s="36"/>
    </row>
    <row r="65" spans="2:23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89"/>
      <c r="V65" s="88"/>
      <c r="W65" s="36"/>
    </row>
    <row r="66" spans="2:23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89"/>
      <c r="V66" s="88"/>
      <c r="W66" s="36"/>
    </row>
    <row r="67" spans="2:23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89"/>
      <c r="V67" s="88"/>
      <c r="W67" s="36"/>
    </row>
    <row r="68" spans="2:23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9"/>
      <c r="V68" s="88"/>
      <c r="W68" s="36"/>
    </row>
    <row r="69" spans="2:23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89"/>
      <c r="V69" s="88"/>
      <c r="W69" s="36"/>
    </row>
  </sheetData>
  <sheetProtection/>
  <mergeCells count="3">
    <mergeCell ref="S22:T22"/>
    <mergeCell ref="L23:N23"/>
    <mergeCell ref="K24:L24"/>
  </mergeCells>
  <printOptions/>
  <pageMargins left="0.16" right="0.16" top="0.27" bottom="0.21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32"/>
  <sheetViews>
    <sheetView tabSelected="1" workbookViewId="0" topLeftCell="A3">
      <pane xSplit="5715" ySplit="1920" topLeftCell="AW10" activePane="bottomRight" state="split"/>
      <selection pane="topLeft" activeCell="BJ31" sqref="BJ31"/>
      <selection pane="topRight" activeCell="AP3" sqref="AP1:AU16384"/>
      <selection pane="bottomLeft" activeCell="B34" sqref="B34"/>
      <selection pane="bottomRight" activeCell="BL20" sqref="BL20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hidden="1" customWidth="1"/>
    <col min="20" max="20" width="8.125" style="28" hidden="1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0.00390625" style="28" hidden="1" customWidth="1"/>
    <col min="26" max="30" width="9.125" style="28" hidden="1" customWidth="1"/>
    <col min="31" max="31" width="9.625" style="28" customWidth="1"/>
    <col min="32" max="33" width="9.125" style="28" hidden="1" customWidth="1"/>
    <col min="34" max="34" width="8.25390625" style="28" hidden="1" customWidth="1"/>
    <col min="35" max="35" width="8.875" style="28" hidden="1" customWidth="1"/>
    <col min="36" max="36" width="9.25390625" style="28" hidden="1" customWidth="1"/>
    <col min="37" max="40" width="9.125" style="28" hidden="1" customWidth="1"/>
    <col min="41" max="41" width="10.00390625" style="28" customWidth="1"/>
    <col min="42" max="42" width="9.25390625" style="28" hidden="1" customWidth="1"/>
    <col min="43" max="43" width="7.875" style="28" hidden="1" customWidth="1"/>
    <col min="44" max="44" width="9.125" style="28" hidden="1" customWidth="1"/>
    <col min="45" max="45" width="8.625" style="28" hidden="1" customWidth="1"/>
    <col min="46" max="46" width="8.50390625" style="28" hidden="1" customWidth="1"/>
    <col min="47" max="47" width="9.125" style="28" hidden="1" customWidth="1"/>
    <col min="48" max="50" width="9.125" style="28" customWidth="1"/>
    <col min="51" max="51" width="9.125" style="28" hidden="1" customWidth="1"/>
    <col min="52" max="52" width="7.625" style="28" customWidth="1"/>
    <col min="53" max="53" width="9.50390625" style="28" hidden="1" customWidth="1"/>
    <col min="54" max="54" width="9.125" style="28" hidden="1" customWidth="1"/>
    <col min="55" max="60" width="9.125" style="28" customWidth="1"/>
    <col min="61" max="61" width="7.75390625" style="28" hidden="1" customWidth="1"/>
    <col min="62" max="62" width="9.125" style="28" hidden="1" customWidth="1"/>
    <col min="63" max="63" width="9.125" style="28" bestFit="1" customWidth="1"/>
    <col min="64" max="64" width="9.125" style="28" customWidth="1"/>
    <col min="65" max="65" width="9.875" style="28" bestFit="1" customWidth="1"/>
    <col min="66" max="66" width="12.125" style="105" customWidth="1"/>
    <col min="67" max="67" width="11.50390625" style="1" customWidth="1"/>
    <col min="68" max="68" width="9.25390625" style="1" hidden="1" customWidth="1"/>
    <col min="69" max="16384" width="9.00390625" style="1" customWidth="1"/>
  </cols>
  <sheetData>
    <row r="1" spans="1:67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105"/>
      <c r="BO1" s="139" t="s">
        <v>35</v>
      </c>
    </row>
    <row r="2" ht="10.5" customHeight="1">
      <c r="A2" s="8"/>
    </row>
    <row r="3" spans="1:66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156"/>
    </row>
    <row r="4" spans="1:68" s="9" customFormat="1" ht="57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7" t="s">
        <v>132</v>
      </c>
      <c r="AD4" s="72" t="s">
        <v>133</v>
      </c>
      <c r="AE4" s="357" t="s">
        <v>141</v>
      </c>
      <c r="AF4" s="358" t="s">
        <v>99</v>
      </c>
      <c r="AG4" s="37" t="s">
        <v>136</v>
      </c>
      <c r="AH4" s="72" t="s">
        <v>137</v>
      </c>
      <c r="AI4" s="358" t="s">
        <v>98</v>
      </c>
      <c r="AJ4" s="37" t="s">
        <v>144</v>
      </c>
      <c r="AK4" s="72" t="s">
        <v>145</v>
      </c>
      <c r="AL4" s="358" t="s">
        <v>100</v>
      </c>
      <c r="AM4" s="37" t="s">
        <v>163</v>
      </c>
      <c r="AN4" s="72" t="s">
        <v>164</v>
      </c>
      <c r="AO4" s="357" t="s">
        <v>166</v>
      </c>
      <c r="AP4" s="499" t="s">
        <v>173</v>
      </c>
      <c r="AQ4" s="501" t="s">
        <v>170</v>
      </c>
      <c r="AR4" s="300" t="s">
        <v>153</v>
      </c>
      <c r="AS4" s="358" t="s">
        <v>102</v>
      </c>
      <c r="AT4" s="453" t="s">
        <v>154</v>
      </c>
      <c r="AU4" s="457" t="s">
        <v>155</v>
      </c>
      <c r="AV4" s="503" t="s">
        <v>174</v>
      </c>
      <c r="AW4" s="37" t="s">
        <v>176</v>
      </c>
      <c r="AX4" s="72" t="s">
        <v>177</v>
      </c>
      <c r="AY4" s="499" t="s">
        <v>179</v>
      </c>
      <c r="AZ4" s="530" t="s">
        <v>180</v>
      </c>
      <c r="BA4" s="358" t="s">
        <v>103</v>
      </c>
      <c r="BB4" s="453" t="s">
        <v>154</v>
      </c>
      <c r="BC4" s="130" t="s">
        <v>156</v>
      </c>
      <c r="BD4" s="503" t="s">
        <v>181</v>
      </c>
      <c r="BE4" s="548" t="s">
        <v>184</v>
      </c>
      <c r="BF4" s="559" t="s">
        <v>185</v>
      </c>
      <c r="BG4" s="560" t="s">
        <v>186</v>
      </c>
      <c r="BH4" s="568" t="s">
        <v>187</v>
      </c>
      <c r="BI4" s="358" t="s">
        <v>104</v>
      </c>
      <c r="BJ4" s="453" t="s">
        <v>154</v>
      </c>
      <c r="BK4" s="130" t="s">
        <v>190</v>
      </c>
      <c r="BL4" s="568" t="s">
        <v>188</v>
      </c>
      <c r="BM4" s="357" t="s">
        <v>189</v>
      </c>
      <c r="BN4" s="225" t="s">
        <v>159</v>
      </c>
      <c r="BO4" s="219" t="s">
        <v>55</v>
      </c>
      <c r="BP4" s="96" t="s">
        <v>130</v>
      </c>
    </row>
    <row r="5" spans="1:68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 aca="true" t="shared" si="5" ref="AA5:AA11">Y5-Z5</f>
        <v>-433.5425341379887</v>
      </c>
      <c r="AB5" s="345">
        <f>48000-4909.13</f>
        <v>43090.87</v>
      </c>
      <c r="AC5" s="391">
        <v>43459.56</v>
      </c>
      <c r="AD5" s="354">
        <f aca="true" t="shared" si="6" ref="AD5:AD11">AB5-AC5</f>
        <v>-368.68999999999505</v>
      </c>
      <c r="AE5" s="359">
        <f aca="true" t="shared" si="7" ref="AE5:AE11">S5+Z5+AC5</f>
        <v>146013.65</v>
      </c>
      <c r="AF5" s="345">
        <f>48000+4573.76</f>
        <v>52573.76</v>
      </c>
      <c r="AG5" s="391">
        <v>52761</v>
      </c>
      <c r="AH5" s="354">
        <f aca="true" t="shared" si="8" ref="AH5:AH11">AF5-AG5</f>
        <v>-187.23999999999796</v>
      </c>
      <c r="AI5" s="345">
        <f>48000-4573.76+4099.73</f>
        <v>47525.97</v>
      </c>
      <c r="AJ5" s="391">
        <v>47804.35</v>
      </c>
      <c r="AK5" s="354">
        <f aca="true" t="shared" si="9" ref="AK5:AK11">AI5-AJ5</f>
        <v>-278.3799999999974</v>
      </c>
      <c r="AL5" s="345">
        <f>48000-4099.73</f>
        <v>43900.270000000004</v>
      </c>
      <c r="AM5" s="391">
        <v>42159.27</v>
      </c>
      <c r="AN5" s="345">
        <f aca="true" t="shared" si="10" ref="AN5:AN11">AL5-AM5</f>
        <v>1741.0000000000073</v>
      </c>
      <c r="AO5" s="359">
        <f aca="true" t="shared" si="11" ref="AO5:AO11">AG5+AJ5+AM5</f>
        <v>142724.62</v>
      </c>
      <c r="AP5" s="264"/>
      <c r="AQ5" s="264"/>
      <c r="AR5" s="344">
        <v>76617.43</v>
      </c>
      <c r="AS5" s="345">
        <v>48000</v>
      </c>
      <c r="AT5" s="454">
        <v>12000</v>
      </c>
      <c r="AU5" s="458">
        <f>AS5+AT5</f>
        <v>60000</v>
      </c>
      <c r="AV5" s="345">
        <f>AQ5+AU5+5788.24</f>
        <v>65788.24</v>
      </c>
      <c r="AW5" s="391">
        <v>66369.89</v>
      </c>
      <c r="AX5" s="354">
        <f>AW5-AV5</f>
        <v>581.6499999999942</v>
      </c>
      <c r="AY5" s="345">
        <f>(Q5+AE5+AO5+AW5)/10</f>
        <v>50251.778000000006</v>
      </c>
      <c r="AZ5" s="344">
        <f>AY5*AZ16/100</f>
        <v>730.7014406542825</v>
      </c>
      <c r="BA5" s="345">
        <v>31516.14</v>
      </c>
      <c r="BB5" s="454">
        <v>28484</v>
      </c>
      <c r="BC5" s="264">
        <f>BA5+BB5-5788.24</f>
        <v>54211.9</v>
      </c>
      <c r="BD5" s="264">
        <f aca="true" t="shared" si="12" ref="BD5:BD11">AZ5+BC5</f>
        <v>54942.60144065428</v>
      </c>
      <c r="BE5" s="332">
        <v>29713.78</v>
      </c>
      <c r="BF5" s="264">
        <v>15000</v>
      </c>
      <c r="BG5" s="264">
        <f>BE5-BF5</f>
        <v>14713.779999999999</v>
      </c>
      <c r="BH5" s="569">
        <f>BD5+BF5</f>
        <v>69942.60144065428</v>
      </c>
      <c r="BI5" s="345">
        <v>0</v>
      </c>
      <c r="BJ5" s="454">
        <f aca="true" t="shared" si="13" ref="BJ5:BJ11">AR5-AT5-BB5</f>
        <v>36133.42999999999</v>
      </c>
      <c r="BK5" s="264">
        <f aca="true" t="shared" si="14" ref="BK5:BK11">BI5+BJ5</f>
        <v>36133.42999999999</v>
      </c>
      <c r="BL5" s="569">
        <f>BG5+BK5</f>
        <v>50847.20999999999</v>
      </c>
      <c r="BM5" s="359">
        <f>AW5+BH5+BL5</f>
        <v>187159.70144065426</v>
      </c>
      <c r="BN5" s="133">
        <f aca="true" t="shared" si="15" ref="BN5:BN11">Q5+AE5+AO5+BM5</f>
        <v>623307.5914406542</v>
      </c>
      <c r="BO5" s="148">
        <f aca="true" t="shared" si="16" ref="BO5:BO11">Q5+AE5+AO5+AW5</f>
        <v>502517.78</v>
      </c>
      <c r="BP5" s="264"/>
    </row>
    <row r="6" spans="1:68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 t="shared" si="5"/>
        <v>-217.5500000000029</v>
      </c>
      <c r="AB6" s="345">
        <f>35000-227.67</f>
        <v>34772.33</v>
      </c>
      <c r="AC6" s="391">
        <v>34771.13</v>
      </c>
      <c r="AD6" s="345">
        <f t="shared" si="6"/>
        <v>1.2000000000043656</v>
      </c>
      <c r="AE6" s="359">
        <f t="shared" si="7"/>
        <v>105970.06</v>
      </c>
      <c r="AF6" s="345">
        <f>35000+149.84</f>
        <v>35149.84</v>
      </c>
      <c r="AG6" s="391">
        <v>35211.19</v>
      </c>
      <c r="AH6" s="354">
        <f t="shared" si="8"/>
        <v>-61.35000000000582</v>
      </c>
      <c r="AI6" s="345">
        <f>35000-149.84</f>
        <v>34850.16</v>
      </c>
      <c r="AJ6" s="391">
        <v>34744.57</v>
      </c>
      <c r="AK6" s="345">
        <f t="shared" si="9"/>
        <v>105.59000000000378</v>
      </c>
      <c r="AL6" s="345">
        <v>35000</v>
      </c>
      <c r="AM6" s="391">
        <v>34912.91</v>
      </c>
      <c r="AN6" s="345">
        <f t="shared" si="10"/>
        <v>87.08999999999651</v>
      </c>
      <c r="AO6" s="359">
        <f t="shared" si="11"/>
        <v>104868.67000000001</v>
      </c>
      <c r="AP6" s="264"/>
      <c r="AQ6" s="264"/>
      <c r="AR6" s="344">
        <v>55258.73</v>
      </c>
      <c r="AS6" s="345">
        <v>35000</v>
      </c>
      <c r="AT6" s="454">
        <v>5000</v>
      </c>
      <c r="AU6" s="458">
        <f>AS6+AT6</f>
        <v>40000</v>
      </c>
      <c r="AV6" s="345">
        <f>AQ6+AU6</f>
        <v>40000</v>
      </c>
      <c r="AW6" s="391">
        <v>35285.77</v>
      </c>
      <c r="AX6" s="345">
        <f>AV6-AW6</f>
        <v>4714.230000000003</v>
      </c>
      <c r="AY6" s="345"/>
      <c r="AZ6" s="344">
        <v>0</v>
      </c>
      <c r="BA6" s="345">
        <v>23683.13</v>
      </c>
      <c r="BB6" s="454">
        <v>16317</v>
      </c>
      <c r="BC6" s="264">
        <f>BA6+BB6</f>
        <v>40000.130000000005</v>
      </c>
      <c r="BD6" s="264">
        <f t="shared" si="12"/>
        <v>40000.130000000005</v>
      </c>
      <c r="BE6" s="306">
        <v>0</v>
      </c>
      <c r="BF6" s="264">
        <v>0</v>
      </c>
      <c r="BG6" s="264">
        <v>0</v>
      </c>
      <c r="BH6" s="569">
        <f>BD6+BF6</f>
        <v>40000.130000000005</v>
      </c>
      <c r="BI6" s="345">
        <v>0</v>
      </c>
      <c r="BJ6" s="454">
        <f t="shared" si="13"/>
        <v>33941.73</v>
      </c>
      <c r="BK6" s="264">
        <f t="shared" si="14"/>
        <v>33941.73</v>
      </c>
      <c r="BL6" s="569">
        <f>BG6+BK6</f>
        <v>33941.73</v>
      </c>
      <c r="BM6" s="359">
        <f>AW6+BH6+BL6</f>
        <v>109227.63</v>
      </c>
      <c r="BN6" s="133">
        <f t="shared" si="15"/>
        <v>426852.68000000005</v>
      </c>
      <c r="BO6" s="90">
        <f t="shared" si="16"/>
        <v>352910.82000000007</v>
      </c>
      <c r="BP6" s="265"/>
    </row>
    <row r="7" spans="1:68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t="shared" si="5"/>
        <v>-2804.44464150352</v>
      </c>
      <c r="AB7" s="345">
        <f>26000-2305.07</f>
        <v>23694.93</v>
      </c>
      <c r="AC7" s="391">
        <v>24619.66</v>
      </c>
      <c r="AD7" s="354">
        <f t="shared" si="6"/>
        <v>-924.7299999999996</v>
      </c>
      <c r="AE7" s="359">
        <f t="shared" si="7"/>
        <v>82420.51000000001</v>
      </c>
      <c r="AF7" s="345">
        <f>26000+2271.65</f>
        <v>28271.65</v>
      </c>
      <c r="AG7" s="391">
        <v>29076.51</v>
      </c>
      <c r="AH7" s="354">
        <f t="shared" si="8"/>
        <v>-804.859999999997</v>
      </c>
      <c r="AI7" s="345">
        <f>26000-2271.65+2297.33</f>
        <v>26025.68</v>
      </c>
      <c r="AJ7" s="391">
        <v>27912.67</v>
      </c>
      <c r="AK7" s="354">
        <f t="shared" si="9"/>
        <v>-1886.989999999998</v>
      </c>
      <c r="AL7" s="345">
        <f>26000-2297.33</f>
        <v>23702.67</v>
      </c>
      <c r="AM7" s="391">
        <v>26070.96</v>
      </c>
      <c r="AN7" s="354">
        <f t="shared" si="10"/>
        <v>-2368.290000000001</v>
      </c>
      <c r="AO7" s="359">
        <f t="shared" si="11"/>
        <v>83060.13999999998</v>
      </c>
      <c r="AP7" s="345">
        <f>(Q7+AE7+AO7)/9</f>
        <v>28270.022222222222</v>
      </c>
      <c r="AQ7" s="264">
        <f>AP7*AP17/100</f>
        <v>202.75250978250608</v>
      </c>
      <c r="AR7" s="344">
        <v>40870.39</v>
      </c>
      <c r="AS7" s="345">
        <v>26000</v>
      </c>
      <c r="AT7" s="454">
        <v>5000</v>
      </c>
      <c r="AU7" s="458">
        <f>AS7+AT7</f>
        <v>31000</v>
      </c>
      <c r="AV7" s="345">
        <f>AQ7+AU7+3064.03</f>
        <v>34266.782509782504</v>
      </c>
      <c r="AW7" s="391">
        <v>35967.66</v>
      </c>
      <c r="AX7" s="354">
        <f>AW7-AV7</f>
        <v>1700.8774902174991</v>
      </c>
      <c r="AY7" s="345">
        <f>(Q7+AE7+AO7+AW7)/10</f>
        <v>29039.786</v>
      </c>
      <c r="AZ7" s="344">
        <f>AY7*AZ16/100</f>
        <v>422.2619439752373</v>
      </c>
      <c r="BA7" s="345">
        <v>18759.34</v>
      </c>
      <c r="BB7" s="454">
        <v>15000</v>
      </c>
      <c r="BC7" s="264">
        <f>BA7+BB7-3064.03</f>
        <v>30695.309999999998</v>
      </c>
      <c r="BD7" s="264">
        <f t="shared" si="12"/>
        <v>31117.571943975236</v>
      </c>
      <c r="BE7" s="332">
        <v>15859.61</v>
      </c>
      <c r="BF7" s="264">
        <v>10000</v>
      </c>
      <c r="BG7" s="264">
        <f>BE7-BF7</f>
        <v>5859.610000000001</v>
      </c>
      <c r="BH7" s="569">
        <f aca="true" t="shared" si="17" ref="BH7:BH13">BD7+BF7</f>
        <v>41117.571943975236</v>
      </c>
      <c r="BI7" s="345">
        <v>0</v>
      </c>
      <c r="BJ7" s="454">
        <f t="shared" si="13"/>
        <v>20870.39</v>
      </c>
      <c r="BK7" s="264">
        <f t="shared" si="14"/>
        <v>20870.39</v>
      </c>
      <c r="BL7" s="569">
        <f aca="true" t="shared" si="18" ref="BL7:BL13">BG7+BK7</f>
        <v>26730</v>
      </c>
      <c r="BM7" s="359">
        <f aca="true" t="shared" si="19" ref="BM7:BM13">AW7+BH7+BL7</f>
        <v>103815.23194397523</v>
      </c>
      <c r="BN7" s="133">
        <f t="shared" si="15"/>
        <v>358245.4319439752</v>
      </c>
      <c r="BO7" s="90">
        <f t="shared" si="16"/>
        <v>290397.86</v>
      </c>
      <c r="BP7" s="265"/>
    </row>
    <row r="8" spans="1:68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5"/>
        <v>-49752.77045819879</v>
      </c>
      <c r="AB8" s="345">
        <v>28000</v>
      </c>
      <c r="AC8" s="391">
        <v>65373.36</v>
      </c>
      <c r="AD8" s="354">
        <f t="shared" si="6"/>
        <v>-37373.36</v>
      </c>
      <c r="AE8" s="359">
        <f t="shared" si="7"/>
        <v>182625.57</v>
      </c>
      <c r="AF8" s="345">
        <f>28000+360.52</f>
        <v>28360.52</v>
      </c>
      <c r="AG8" s="391">
        <v>66645.11</v>
      </c>
      <c r="AH8" s="354">
        <f t="shared" si="8"/>
        <v>-38284.59</v>
      </c>
      <c r="AI8" s="345">
        <f>28000-360.52+1.17</f>
        <v>27640.649999999998</v>
      </c>
      <c r="AJ8" s="391">
        <v>66457.85</v>
      </c>
      <c r="AK8" s="354">
        <f t="shared" si="9"/>
        <v>-38817.20000000001</v>
      </c>
      <c r="AL8" s="345">
        <f>28000-1.17</f>
        <v>27998.83</v>
      </c>
      <c r="AM8" s="391">
        <v>68639.59</v>
      </c>
      <c r="AN8" s="354">
        <f t="shared" si="10"/>
        <v>-40640.759999999995</v>
      </c>
      <c r="AO8" s="359">
        <f t="shared" si="11"/>
        <v>201742.55000000002</v>
      </c>
      <c r="AP8" s="345">
        <f>(Q8+AE8+AO8)/9</f>
        <v>65723.8688888889</v>
      </c>
      <c r="AQ8" s="264">
        <f>AP8*AP17/100</f>
        <v>471.3713793745686</v>
      </c>
      <c r="AR8" s="344">
        <v>44367.66</v>
      </c>
      <c r="AS8" s="345">
        <v>28000</v>
      </c>
      <c r="AT8" s="454">
        <v>7000</v>
      </c>
      <c r="AU8" s="458">
        <f>AS8+AT8</f>
        <v>35000</v>
      </c>
      <c r="AV8" s="345">
        <f>AQ8+AU8</f>
        <v>35471.37137937457</v>
      </c>
      <c r="AW8" s="391">
        <v>78701.57</v>
      </c>
      <c r="AX8" s="354">
        <f>AW8-AV8</f>
        <v>43230.19862062544</v>
      </c>
      <c r="AY8" s="345">
        <f>(Q8+AE8+AO8+AW8)/10</f>
        <v>67021.63900000001</v>
      </c>
      <c r="AZ8" s="344">
        <f>AY8*AZ16/100</f>
        <v>974.5487646688093</v>
      </c>
      <c r="BA8" s="345">
        <v>17025.58</v>
      </c>
      <c r="BB8" s="454">
        <v>17975</v>
      </c>
      <c r="BC8" s="264">
        <f>BA8+BB8</f>
        <v>35000.58</v>
      </c>
      <c r="BD8" s="264">
        <f t="shared" si="12"/>
        <v>35975.128764668814</v>
      </c>
      <c r="BE8" s="332">
        <v>17156.46</v>
      </c>
      <c r="BF8" s="264">
        <v>11549.12</v>
      </c>
      <c r="BG8" s="264">
        <f>BE8-BF8</f>
        <v>5607.339999999998</v>
      </c>
      <c r="BH8" s="569">
        <f t="shared" si="17"/>
        <v>47524.24876466882</v>
      </c>
      <c r="BI8" s="345">
        <v>0</v>
      </c>
      <c r="BJ8" s="454">
        <f t="shared" si="13"/>
        <v>19392.660000000003</v>
      </c>
      <c r="BK8" s="264">
        <f t="shared" si="14"/>
        <v>19392.660000000003</v>
      </c>
      <c r="BL8" s="569">
        <f t="shared" si="18"/>
        <v>25000</v>
      </c>
      <c r="BM8" s="359">
        <f t="shared" si="19"/>
        <v>151225.81876466883</v>
      </c>
      <c r="BN8" s="133">
        <f t="shared" si="15"/>
        <v>742740.638764669</v>
      </c>
      <c r="BO8" s="90">
        <f t="shared" si="16"/>
        <v>670216.3900000001</v>
      </c>
      <c r="BP8" s="265"/>
    </row>
    <row r="9" spans="1:68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5"/>
        <v>-26775.90566895158</v>
      </c>
      <c r="AB9" s="345">
        <f>68000-1287.76+5196.34</f>
        <v>71908.58</v>
      </c>
      <c r="AC9" s="391">
        <v>100626.87</v>
      </c>
      <c r="AD9" s="354">
        <f t="shared" si="6"/>
        <v>-28718.289999999994</v>
      </c>
      <c r="AE9" s="359">
        <f t="shared" si="7"/>
        <v>266838.64</v>
      </c>
      <c r="AF9" s="345">
        <f>68000-5196.34+3044.85</f>
        <v>65848.51000000001</v>
      </c>
      <c r="AG9" s="391">
        <v>92177.52</v>
      </c>
      <c r="AH9" s="354">
        <f t="shared" si="8"/>
        <v>-26329.009999999995</v>
      </c>
      <c r="AI9" s="345">
        <f>68000-3044.85+5714.3</f>
        <v>70669.45</v>
      </c>
      <c r="AJ9" s="391">
        <v>93247.64</v>
      </c>
      <c r="AK9" s="354">
        <f t="shared" si="9"/>
        <v>-22578.190000000002</v>
      </c>
      <c r="AL9" s="345">
        <f>68000-5714.3+3157.23</f>
        <v>65442.93</v>
      </c>
      <c r="AM9" s="391">
        <v>97791.14</v>
      </c>
      <c r="AN9" s="354">
        <f t="shared" si="10"/>
        <v>-32348.21</v>
      </c>
      <c r="AO9" s="359">
        <f t="shared" si="11"/>
        <v>283216.3</v>
      </c>
      <c r="AP9" s="345">
        <f>(Q9+AE9+AO9)/9</f>
        <v>89079.65999999999</v>
      </c>
      <c r="AQ9" s="264">
        <f>AP9*AP17/100</f>
        <v>638.8790392027001</v>
      </c>
      <c r="AR9" s="344">
        <v>102684.78</v>
      </c>
      <c r="AS9" s="345">
        <v>68000</v>
      </c>
      <c r="AT9" s="454">
        <v>12000</v>
      </c>
      <c r="AU9" s="458">
        <f>AS9+AT9-3157.23</f>
        <v>76842.77</v>
      </c>
      <c r="AV9" s="345">
        <f>AQ9+AU9</f>
        <v>77481.6490392027</v>
      </c>
      <c r="AW9" s="391">
        <v>104672.34</v>
      </c>
      <c r="AX9" s="354">
        <f>AW9-AV9</f>
        <v>27190.690960797292</v>
      </c>
      <c r="AY9" s="345">
        <f>(Q9+AE9+AO9+AW9)/10</f>
        <v>90638.92799999999</v>
      </c>
      <c r="AZ9" s="344">
        <f>AY9*AZ16/100</f>
        <v>1317.9632224945308</v>
      </c>
      <c r="BA9" s="345">
        <v>12667.05</v>
      </c>
      <c r="BB9" s="454">
        <v>50684</v>
      </c>
      <c r="BC9" s="264">
        <f>BA9+BB9</f>
        <v>63351.05</v>
      </c>
      <c r="BD9" s="264">
        <f t="shared" si="12"/>
        <v>64669.013222494534</v>
      </c>
      <c r="BE9" s="332">
        <v>39734.47</v>
      </c>
      <c r="BF9" s="264">
        <v>29734.47</v>
      </c>
      <c r="BG9" s="264">
        <f>BE9-BF9</f>
        <v>10000</v>
      </c>
      <c r="BH9" s="569">
        <f t="shared" si="17"/>
        <v>94403.48322249454</v>
      </c>
      <c r="BI9" s="345">
        <v>0</v>
      </c>
      <c r="BJ9" s="454">
        <f t="shared" si="13"/>
        <v>40000.78</v>
      </c>
      <c r="BK9" s="264">
        <f t="shared" si="14"/>
        <v>40000.78</v>
      </c>
      <c r="BL9" s="569">
        <f t="shared" si="18"/>
        <v>50000.78</v>
      </c>
      <c r="BM9" s="359">
        <f t="shared" si="19"/>
        <v>249076.60322249454</v>
      </c>
      <c r="BN9" s="133">
        <f t="shared" si="15"/>
        <v>1050793.5432224944</v>
      </c>
      <c r="BO9" s="90">
        <f t="shared" si="16"/>
        <v>906389.2799999999</v>
      </c>
      <c r="BP9" s="265"/>
    </row>
    <row r="10" spans="1:68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5"/>
        <v>-242.84820781231247</v>
      </c>
      <c r="AB10" s="345">
        <f>25000+149.2</f>
        <v>25149.2</v>
      </c>
      <c r="AC10" s="391">
        <v>25326.54</v>
      </c>
      <c r="AD10" s="354">
        <f t="shared" si="6"/>
        <v>-177.34000000000015</v>
      </c>
      <c r="AE10" s="359">
        <f t="shared" si="7"/>
        <v>77273.08</v>
      </c>
      <c r="AF10" s="345">
        <f>25000-149.2+427.78</f>
        <v>25278.579999999998</v>
      </c>
      <c r="AG10" s="391">
        <v>25278.58</v>
      </c>
      <c r="AH10" s="264">
        <f t="shared" si="8"/>
        <v>0</v>
      </c>
      <c r="AI10" s="345">
        <f>25000-427.78+728.4</f>
        <v>25300.620000000003</v>
      </c>
      <c r="AJ10" s="391">
        <v>25300.62</v>
      </c>
      <c r="AK10" s="345">
        <f t="shared" si="9"/>
        <v>0</v>
      </c>
      <c r="AL10" s="345">
        <f>25000-728.4+738.25</f>
        <v>25009.85</v>
      </c>
      <c r="AM10" s="391">
        <v>25143.09</v>
      </c>
      <c r="AN10" s="354">
        <f t="shared" si="10"/>
        <v>-133.2400000000016</v>
      </c>
      <c r="AO10" s="359">
        <f t="shared" si="11"/>
        <v>75722.29</v>
      </c>
      <c r="AP10" s="345">
        <f>(Q10+AE10+AO10)/9</f>
        <v>25972.469999999998</v>
      </c>
      <c r="AQ10" s="264">
        <f>AP10*AP17/100</f>
        <v>186.27447252628662</v>
      </c>
      <c r="AR10" s="344">
        <v>37366.37</v>
      </c>
      <c r="AS10" s="345">
        <v>20000</v>
      </c>
      <c r="AT10" s="454">
        <v>2000</v>
      </c>
      <c r="AU10" s="458">
        <f>AS10+AT10-738.25</f>
        <v>21261.75</v>
      </c>
      <c r="AV10" s="345">
        <f>AQ10+AU10+441.14</f>
        <v>21889.164472526285</v>
      </c>
      <c r="AW10" s="391">
        <v>21889.16</v>
      </c>
      <c r="AX10" s="345">
        <f>AW10-AV10</f>
        <v>-0.004472526285098866</v>
      </c>
      <c r="AY10" s="345">
        <f>(Q10+AE10+AO10+AW10)/10</f>
        <v>25564.139</v>
      </c>
      <c r="AZ10" s="344">
        <f>AY10*AZ16/100</f>
        <v>371.72322930317665</v>
      </c>
      <c r="BA10" s="345">
        <v>10828.19</v>
      </c>
      <c r="BB10" s="454">
        <v>15000</v>
      </c>
      <c r="BC10" s="264">
        <f>BA10+BB10-441.14</f>
        <v>25387.050000000003</v>
      </c>
      <c r="BD10" s="264">
        <f t="shared" si="12"/>
        <v>25758.77322930318</v>
      </c>
      <c r="BE10" s="332">
        <v>14426.19</v>
      </c>
      <c r="BF10" s="264">
        <v>10000</v>
      </c>
      <c r="BG10" s="264">
        <f>BE10-BF10</f>
        <v>4426.1900000000005</v>
      </c>
      <c r="BH10" s="569">
        <f t="shared" si="17"/>
        <v>35758.77322930318</v>
      </c>
      <c r="BI10" s="345">
        <v>0</v>
      </c>
      <c r="BJ10" s="454">
        <f t="shared" si="13"/>
        <v>20366.370000000003</v>
      </c>
      <c r="BK10" s="264">
        <f t="shared" si="14"/>
        <v>20366.370000000003</v>
      </c>
      <c r="BL10" s="569">
        <f t="shared" si="18"/>
        <v>24792.560000000005</v>
      </c>
      <c r="BM10" s="359">
        <f t="shared" si="19"/>
        <v>82440.49322930319</v>
      </c>
      <c r="BN10" s="133">
        <f t="shared" si="15"/>
        <v>316192.72322930314</v>
      </c>
      <c r="BO10" s="90">
        <f t="shared" si="16"/>
        <v>255641.38999999998</v>
      </c>
      <c r="BP10" s="265"/>
    </row>
    <row r="11" spans="1:68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5"/>
        <v>-198.35848939578864</v>
      </c>
      <c r="AB11" s="345">
        <f>57000-12580.53+34124.63</f>
        <v>78544.1</v>
      </c>
      <c r="AC11" s="391">
        <v>79063.45</v>
      </c>
      <c r="AD11" s="354">
        <f t="shared" si="6"/>
        <v>-519.3499999999913</v>
      </c>
      <c r="AE11" s="359">
        <f t="shared" si="7"/>
        <v>206346.18</v>
      </c>
      <c r="AF11" s="345">
        <f>58780-34124.63+44919.57</f>
        <v>69574.94</v>
      </c>
      <c r="AG11" s="391">
        <v>69916.62</v>
      </c>
      <c r="AH11" s="354">
        <f t="shared" si="8"/>
        <v>-341.679999999993</v>
      </c>
      <c r="AI11" s="345">
        <f>58780-44919.57+54548.71</f>
        <v>68409.14</v>
      </c>
      <c r="AJ11" s="391">
        <v>68930.46</v>
      </c>
      <c r="AK11" s="354">
        <f t="shared" si="9"/>
        <v>-521.320000000007</v>
      </c>
      <c r="AL11" s="345">
        <f>58780-54548.71+27856.83</f>
        <v>32088.120000000003</v>
      </c>
      <c r="AM11" s="391">
        <v>32611.1</v>
      </c>
      <c r="AN11" s="354">
        <f t="shared" si="10"/>
        <v>-522.9799999999959</v>
      </c>
      <c r="AO11" s="359">
        <f t="shared" si="11"/>
        <v>171458.18000000002</v>
      </c>
      <c r="AP11" s="345">
        <f>(Q11+AE11+AO11)/9</f>
        <v>60736.58555555556</v>
      </c>
      <c r="AQ11" s="264">
        <f>AP11*AP17/100</f>
        <v>435.6025991139385</v>
      </c>
      <c r="AR11" s="344">
        <v>85634.64</v>
      </c>
      <c r="AS11" s="345">
        <v>55000</v>
      </c>
      <c r="AT11" s="454">
        <v>22000</v>
      </c>
      <c r="AU11" s="458">
        <f>AS11+AT11-27856.83</f>
        <v>49143.17</v>
      </c>
      <c r="AV11" s="345">
        <f>AQ11+AU11+20567.47</f>
        <v>70146.24259911393</v>
      </c>
      <c r="AW11" s="391">
        <v>70276.9</v>
      </c>
      <c r="AX11" s="354">
        <f>AW11-AV11</f>
        <v>130.65740088606253</v>
      </c>
      <c r="AY11" s="345">
        <f>(Q11+AE11+AO11+AW11)/10</f>
        <v>61690.617000000006</v>
      </c>
      <c r="AZ11" s="344">
        <f>AY11*AZ16/100</f>
        <v>897.0313989039664</v>
      </c>
      <c r="BA11" s="345">
        <v>11780.57</v>
      </c>
      <c r="BB11" s="454">
        <v>43635</v>
      </c>
      <c r="BC11" s="264">
        <f>BA11+BB11-20567.47</f>
        <v>34848.1</v>
      </c>
      <c r="BD11" s="264">
        <f t="shared" si="12"/>
        <v>35745.13139890396</v>
      </c>
      <c r="BE11" s="332">
        <v>33109.49</v>
      </c>
      <c r="BF11" s="264">
        <v>33109.49</v>
      </c>
      <c r="BG11" s="264">
        <f>BE11-BF11</f>
        <v>0</v>
      </c>
      <c r="BH11" s="569">
        <f t="shared" si="17"/>
        <v>68854.62139890395</v>
      </c>
      <c r="BI11" s="345">
        <v>0</v>
      </c>
      <c r="BJ11" s="454">
        <f t="shared" si="13"/>
        <v>19999.64</v>
      </c>
      <c r="BK11" s="264">
        <f t="shared" si="14"/>
        <v>19999.64</v>
      </c>
      <c r="BL11" s="569">
        <f t="shared" si="18"/>
        <v>19999.64</v>
      </c>
      <c r="BM11" s="359">
        <f t="shared" si="19"/>
        <v>159131.16139890393</v>
      </c>
      <c r="BN11" s="133">
        <f t="shared" si="15"/>
        <v>705760.431398904</v>
      </c>
      <c r="BO11" s="90">
        <f t="shared" si="16"/>
        <v>616906.17</v>
      </c>
      <c r="BP11" s="265"/>
    </row>
    <row r="12" spans="1:68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20" ref="G12:M12">SUM(G5:G11)</f>
        <v>205261.1030769231</v>
      </c>
      <c r="H12" s="44">
        <f t="shared" si="20"/>
        <v>272549.07</v>
      </c>
      <c r="I12" s="44">
        <f t="shared" si="20"/>
        <v>5477.89</v>
      </c>
      <c r="J12" s="44">
        <f t="shared" si="20"/>
        <v>289870.7</v>
      </c>
      <c r="K12" s="44">
        <f t="shared" si="20"/>
        <v>341957.91000000003</v>
      </c>
      <c r="L12" s="44">
        <f t="shared" si="20"/>
        <v>-52087.210000000014</v>
      </c>
      <c r="M12" s="44">
        <f t="shared" si="20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21" ref="U12:Z12">SUM(U5:U11)</f>
        <v>268091.919375</v>
      </c>
      <c r="V12" s="44">
        <f t="shared" si="21"/>
        <v>1063.9400000000023</v>
      </c>
      <c r="W12" s="44">
        <f t="shared" si="21"/>
        <v>1846600</v>
      </c>
      <c r="X12" s="346">
        <f t="shared" si="21"/>
        <v>264743.92</v>
      </c>
      <c r="Y12" s="346">
        <f t="shared" si="21"/>
        <v>287118.02</v>
      </c>
      <c r="Z12" s="346">
        <f t="shared" si="21"/>
        <v>367543.43999999994</v>
      </c>
      <c r="AA12" s="346">
        <v>0</v>
      </c>
      <c r="AB12" s="346">
        <f>SUM(AB5:AB11)</f>
        <v>305160.01</v>
      </c>
      <c r="AC12" s="346">
        <f>SUM(AC5:AC11)</f>
        <v>373240.57</v>
      </c>
      <c r="AD12" s="346">
        <f>AD6</f>
        <v>1.2000000000043656</v>
      </c>
      <c r="AE12" s="423">
        <f>SUM(AE5:AE11)</f>
        <v>1067487.69</v>
      </c>
      <c r="AF12" s="44">
        <f>SUM(AF5:AF11)</f>
        <v>305057.8</v>
      </c>
      <c r="AG12" s="44">
        <f>SUM(AG5:AG11)</f>
        <v>371066.53</v>
      </c>
      <c r="AH12" s="44">
        <v>0</v>
      </c>
      <c r="AI12" s="44">
        <f>SUM(AI5:AI11)</f>
        <v>300421.67</v>
      </c>
      <c r="AJ12" s="44">
        <f>SUM(AJ5:AJ11)</f>
        <v>364398.16000000003</v>
      </c>
      <c r="AK12" s="44">
        <f>AK6</f>
        <v>105.59000000000378</v>
      </c>
      <c r="AL12" s="44">
        <f>SUM(AL5:AL11)</f>
        <v>253142.67</v>
      </c>
      <c r="AM12" s="44">
        <f>SUM(AM5:AM11)</f>
        <v>327328.06</v>
      </c>
      <c r="AN12" s="44">
        <f>AN5+AN6</f>
        <v>1828.0900000000038</v>
      </c>
      <c r="AO12" s="44">
        <f aca="true" t="shared" si="22" ref="AO12:AW12">SUM(AO5:AO11)</f>
        <v>1062792.75</v>
      </c>
      <c r="AP12" s="44">
        <f t="shared" si="22"/>
        <v>269782.6066666667</v>
      </c>
      <c r="AQ12" s="44">
        <f t="shared" si="22"/>
        <v>1934.88</v>
      </c>
      <c r="AR12" s="44">
        <f t="shared" si="22"/>
        <v>442800</v>
      </c>
      <c r="AS12" s="44">
        <f t="shared" si="22"/>
        <v>280000</v>
      </c>
      <c r="AT12" s="44">
        <f t="shared" si="22"/>
        <v>65000</v>
      </c>
      <c r="AU12" s="44">
        <f t="shared" si="22"/>
        <v>313247.69</v>
      </c>
      <c r="AV12" s="44">
        <f t="shared" si="22"/>
        <v>345043.45000000007</v>
      </c>
      <c r="AW12" s="44">
        <f t="shared" si="22"/>
        <v>413163.2899999999</v>
      </c>
      <c r="AX12" s="44">
        <f>AX6</f>
        <v>4714.230000000003</v>
      </c>
      <c r="AY12" s="44">
        <f aca="true" t="shared" si="23" ref="AY12:BP12">SUM(AY5:AY11)</f>
        <v>324206.88700000005</v>
      </c>
      <c r="AZ12" s="44">
        <f t="shared" si="23"/>
        <v>4714.230000000003</v>
      </c>
      <c r="BA12" s="44">
        <f t="shared" si="23"/>
        <v>126260</v>
      </c>
      <c r="BB12" s="44">
        <f t="shared" si="23"/>
        <v>187095</v>
      </c>
      <c r="BC12" s="44">
        <f t="shared" si="23"/>
        <v>283494.11999999994</v>
      </c>
      <c r="BD12" s="44">
        <f t="shared" si="23"/>
        <v>288208.35</v>
      </c>
      <c r="BE12" s="44">
        <f aca="true" t="shared" si="24" ref="BE12:BM12">SUM(BE5:BE11)</f>
        <v>150000</v>
      </c>
      <c r="BF12" s="44">
        <f t="shared" si="24"/>
        <v>109393.07999999999</v>
      </c>
      <c r="BG12" s="44">
        <f t="shared" si="24"/>
        <v>40606.92</v>
      </c>
      <c r="BH12" s="44">
        <f t="shared" si="24"/>
        <v>397601.43</v>
      </c>
      <c r="BI12" s="44">
        <f t="shared" si="24"/>
        <v>0</v>
      </c>
      <c r="BJ12" s="44">
        <f t="shared" si="24"/>
        <v>190705</v>
      </c>
      <c r="BK12" s="44">
        <f t="shared" si="24"/>
        <v>190705</v>
      </c>
      <c r="BL12" s="44">
        <f t="shared" si="24"/>
        <v>231311.91999999998</v>
      </c>
      <c r="BM12" s="44">
        <f t="shared" si="24"/>
        <v>1042076.6399999998</v>
      </c>
      <c r="BN12" s="44">
        <f t="shared" si="23"/>
        <v>4223893.04</v>
      </c>
      <c r="BO12" s="43">
        <f t="shared" si="23"/>
        <v>3594979.69</v>
      </c>
      <c r="BP12" s="228">
        <f t="shared" si="23"/>
        <v>0</v>
      </c>
    </row>
    <row r="13" spans="1:68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>Y13-Z13</f>
        <v>-9840</v>
      </c>
      <c r="AB13" s="345">
        <v>10000</v>
      </c>
      <c r="AC13" s="391">
        <v>20000</v>
      </c>
      <c r="AD13" s="354">
        <f>AB13-AC13</f>
        <v>-10000</v>
      </c>
      <c r="AE13" s="359">
        <f>S13+Z13+AC13</f>
        <v>49760</v>
      </c>
      <c r="AF13" s="345">
        <v>10000</v>
      </c>
      <c r="AG13" s="391">
        <v>16840</v>
      </c>
      <c r="AH13" s="354">
        <f>AF13-AG13</f>
        <v>-6840</v>
      </c>
      <c r="AI13" s="345">
        <v>10000</v>
      </c>
      <c r="AJ13" s="391">
        <v>14800</v>
      </c>
      <c r="AK13" s="354">
        <f>AI13-AJ13</f>
        <v>-4800</v>
      </c>
      <c r="AL13" s="345">
        <v>10000</v>
      </c>
      <c r="AM13" s="391">
        <v>15760</v>
      </c>
      <c r="AN13" s="354">
        <f>AL13-AM13</f>
        <v>-5760</v>
      </c>
      <c r="AO13" s="359">
        <f>AG13+AJ13+AM13</f>
        <v>47400</v>
      </c>
      <c r="AP13" s="264"/>
      <c r="AQ13" s="264"/>
      <c r="AR13" s="344">
        <v>3000</v>
      </c>
      <c r="AS13" s="345">
        <v>10000</v>
      </c>
      <c r="AT13" s="454">
        <v>1000</v>
      </c>
      <c r="AU13" s="458">
        <f>AS13+AT13</f>
        <v>11000</v>
      </c>
      <c r="AV13" s="345">
        <f>AQ13+AU13</f>
        <v>11000</v>
      </c>
      <c r="AW13" s="391">
        <v>16170</v>
      </c>
      <c r="AX13" s="354">
        <f>AW13-AV13</f>
        <v>5170</v>
      </c>
      <c r="AY13" s="264"/>
      <c r="AZ13" s="264"/>
      <c r="BA13" s="345">
        <v>10000</v>
      </c>
      <c r="BB13" s="454">
        <v>1000</v>
      </c>
      <c r="BC13" s="264">
        <f>BA13+BB13</f>
        <v>11000</v>
      </c>
      <c r="BD13" s="264">
        <f>AZ13+BC13</f>
        <v>11000</v>
      </c>
      <c r="BE13" s="264">
        <v>0</v>
      </c>
      <c r="BF13" s="264">
        <v>0</v>
      </c>
      <c r="BG13" s="264">
        <v>0</v>
      </c>
      <c r="BH13" s="569">
        <f t="shared" si="17"/>
        <v>11000</v>
      </c>
      <c r="BI13" s="345">
        <v>7000</v>
      </c>
      <c r="BJ13" s="454">
        <f>AR13-AT13-BB13</f>
        <v>1000</v>
      </c>
      <c r="BK13" s="264">
        <f>BI13+BJ13</f>
        <v>8000</v>
      </c>
      <c r="BL13" s="569">
        <f t="shared" si="18"/>
        <v>8000</v>
      </c>
      <c r="BM13" s="359">
        <f t="shared" si="19"/>
        <v>35170</v>
      </c>
      <c r="BN13" s="133">
        <f>Q13+AE13+AO13+BM13</f>
        <v>176260</v>
      </c>
      <c r="BO13" s="90">
        <f>Q13+AE13+AO13+AW13</f>
        <v>157260</v>
      </c>
      <c r="BP13" s="265"/>
    </row>
    <row r="14" spans="1:68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25" ref="G14:M14">SUM(G13:G13)</f>
        <v>0</v>
      </c>
      <c r="H14" s="50">
        <f t="shared" si="25"/>
        <v>10000</v>
      </c>
      <c r="I14" s="50">
        <f t="shared" si="25"/>
        <v>0</v>
      </c>
      <c r="J14" s="50">
        <f t="shared" si="25"/>
        <v>10000</v>
      </c>
      <c r="K14" s="50">
        <f t="shared" si="25"/>
        <v>15600</v>
      </c>
      <c r="L14" s="50">
        <f t="shared" si="25"/>
        <v>-5600</v>
      </c>
      <c r="M14" s="50">
        <f t="shared" si="25"/>
        <v>10000</v>
      </c>
      <c r="N14" s="50"/>
      <c r="O14" s="50">
        <f>SUM(O13:O13)</f>
        <v>15960</v>
      </c>
      <c r="P14" s="50">
        <v>0</v>
      </c>
      <c r="Q14" s="187">
        <f aca="true" t="shared" si="26" ref="Q14:Z14">SUM(Q13:Q13)</f>
        <v>43930</v>
      </c>
      <c r="R14" s="187">
        <f t="shared" si="26"/>
        <v>10000</v>
      </c>
      <c r="S14" s="187">
        <f t="shared" si="26"/>
        <v>9920</v>
      </c>
      <c r="T14" s="187">
        <f t="shared" si="26"/>
        <v>80</v>
      </c>
      <c r="U14" s="50">
        <f t="shared" si="26"/>
        <v>0</v>
      </c>
      <c r="V14" s="50">
        <f t="shared" si="26"/>
        <v>0</v>
      </c>
      <c r="W14" s="50">
        <f t="shared" si="26"/>
        <v>77000</v>
      </c>
      <c r="X14" s="50">
        <f t="shared" si="26"/>
        <v>10000</v>
      </c>
      <c r="Y14" s="50">
        <f t="shared" si="26"/>
        <v>10000</v>
      </c>
      <c r="Z14" s="50">
        <f t="shared" si="26"/>
        <v>19840</v>
      </c>
      <c r="AA14" s="50">
        <v>0</v>
      </c>
      <c r="AB14" s="50">
        <f>SUM(AB13:AB13)</f>
        <v>10000</v>
      </c>
      <c r="AC14" s="50">
        <f>SUM(AC13:AC13)</f>
        <v>20000</v>
      </c>
      <c r="AD14" s="50"/>
      <c r="AE14" s="50">
        <f>SUM(AE13:AE13)</f>
        <v>49760</v>
      </c>
      <c r="AF14" s="50">
        <f>SUM(AF13:AF13)</f>
        <v>10000</v>
      </c>
      <c r="AG14" s="50">
        <f>SUM(AG13:AG13)</f>
        <v>16840</v>
      </c>
      <c r="AH14" s="50">
        <v>0</v>
      </c>
      <c r="AI14" s="50">
        <f>SUM(AI13:AI13)</f>
        <v>10000</v>
      </c>
      <c r="AJ14" s="50">
        <f>SUM(AJ13:AJ13)</f>
        <v>14800</v>
      </c>
      <c r="AK14" s="50">
        <v>0</v>
      </c>
      <c r="AL14" s="50">
        <f>SUM(AL13:AL13)</f>
        <v>10000</v>
      </c>
      <c r="AM14" s="50">
        <f>SUM(AM13:AM13)</f>
        <v>15760</v>
      </c>
      <c r="AN14" s="50">
        <v>0</v>
      </c>
      <c r="AO14" s="50">
        <f aca="true" t="shared" si="27" ref="AO14:AW14">SUM(AO13:AO13)</f>
        <v>47400</v>
      </c>
      <c r="AP14" s="50">
        <f t="shared" si="27"/>
        <v>0</v>
      </c>
      <c r="AQ14" s="50">
        <f t="shared" si="27"/>
        <v>0</v>
      </c>
      <c r="AR14" s="50">
        <f t="shared" si="27"/>
        <v>3000</v>
      </c>
      <c r="AS14" s="50">
        <f t="shared" si="27"/>
        <v>10000</v>
      </c>
      <c r="AT14" s="50">
        <f t="shared" si="27"/>
        <v>1000</v>
      </c>
      <c r="AU14" s="50">
        <f t="shared" si="27"/>
        <v>11000</v>
      </c>
      <c r="AV14" s="50">
        <f t="shared" si="27"/>
        <v>11000</v>
      </c>
      <c r="AW14" s="50">
        <f t="shared" si="27"/>
        <v>16170</v>
      </c>
      <c r="AX14" s="50">
        <v>0</v>
      </c>
      <c r="AY14" s="527"/>
      <c r="AZ14" s="50">
        <f aca="true" t="shared" si="28" ref="AZ14:BP14">SUM(AZ13:AZ13)</f>
        <v>0</v>
      </c>
      <c r="BA14" s="50">
        <f t="shared" si="28"/>
        <v>10000</v>
      </c>
      <c r="BB14" s="50">
        <f t="shared" si="28"/>
        <v>1000</v>
      </c>
      <c r="BC14" s="50">
        <f t="shared" si="28"/>
        <v>11000</v>
      </c>
      <c r="BD14" s="50">
        <f t="shared" si="28"/>
        <v>11000</v>
      </c>
      <c r="BE14" s="50">
        <f aca="true" t="shared" si="29" ref="BE14:BL14">SUM(BE13:BE13)</f>
        <v>0</v>
      </c>
      <c r="BF14" s="50">
        <f t="shared" si="29"/>
        <v>0</v>
      </c>
      <c r="BG14" s="50">
        <f t="shared" si="29"/>
        <v>0</v>
      </c>
      <c r="BH14" s="50">
        <f t="shared" si="29"/>
        <v>11000</v>
      </c>
      <c r="BI14" s="50">
        <f t="shared" si="29"/>
        <v>7000</v>
      </c>
      <c r="BJ14" s="50">
        <f t="shared" si="29"/>
        <v>1000</v>
      </c>
      <c r="BK14" s="50">
        <f t="shared" si="29"/>
        <v>8000</v>
      </c>
      <c r="BL14" s="50">
        <f t="shared" si="29"/>
        <v>8000</v>
      </c>
      <c r="BM14" s="50">
        <f t="shared" si="28"/>
        <v>35170</v>
      </c>
      <c r="BN14" s="50">
        <f t="shared" si="28"/>
        <v>176260</v>
      </c>
      <c r="BO14" s="50">
        <f t="shared" si="28"/>
        <v>157260</v>
      </c>
      <c r="BP14" s="50">
        <f t="shared" si="28"/>
        <v>0</v>
      </c>
    </row>
    <row r="15" spans="1:68" s="168" customFormat="1" ht="28.5" customHeight="1" thickBot="1">
      <c r="A15" s="166"/>
      <c r="B15" s="167" t="s">
        <v>4</v>
      </c>
      <c r="C15" s="43">
        <v>3643654.47</v>
      </c>
      <c r="D15" s="43">
        <f aca="true" t="shared" si="30" ref="D15:M15">D12+D14</f>
        <v>311450.93</v>
      </c>
      <c r="E15" s="43">
        <f t="shared" si="30"/>
        <v>346131.38999999996</v>
      </c>
      <c r="F15" s="35">
        <f t="shared" si="30"/>
        <v>5477.889999999999</v>
      </c>
      <c r="G15" s="43">
        <f t="shared" si="30"/>
        <v>205261.1030769231</v>
      </c>
      <c r="H15" s="43">
        <f t="shared" si="30"/>
        <v>282549.07</v>
      </c>
      <c r="I15" s="35">
        <f t="shared" si="30"/>
        <v>5477.89</v>
      </c>
      <c r="J15" s="43">
        <f t="shared" si="30"/>
        <v>299870.7</v>
      </c>
      <c r="K15" s="43">
        <f t="shared" si="30"/>
        <v>357557.91000000003</v>
      </c>
      <c r="L15" s="267">
        <f t="shared" si="30"/>
        <v>-57687.210000000014</v>
      </c>
      <c r="M15" s="43">
        <f t="shared" si="30"/>
        <v>288556.69</v>
      </c>
      <c r="N15" s="43"/>
      <c r="O15" s="43">
        <f aca="true" t="shared" si="31" ref="O15:AX15">O12+O14</f>
        <v>391776.66000000003</v>
      </c>
      <c r="P15" s="140">
        <f t="shared" si="31"/>
        <v>1.7300000000032014</v>
      </c>
      <c r="Q15" s="228">
        <f t="shared" si="31"/>
        <v>1095465.96</v>
      </c>
      <c r="R15" s="106">
        <f t="shared" si="31"/>
        <v>318855.64999999997</v>
      </c>
      <c r="S15" s="106">
        <f t="shared" si="31"/>
        <v>336623.68</v>
      </c>
      <c r="T15" s="140">
        <f t="shared" si="31"/>
        <v>1062.2099999999991</v>
      </c>
      <c r="U15" s="43">
        <f t="shared" si="31"/>
        <v>268091.919375</v>
      </c>
      <c r="V15" s="376">
        <f t="shared" si="31"/>
        <v>1063.9400000000023</v>
      </c>
      <c r="W15" s="43">
        <f t="shared" si="31"/>
        <v>1923600</v>
      </c>
      <c r="X15" s="43">
        <f t="shared" si="31"/>
        <v>274743.92</v>
      </c>
      <c r="Y15" s="43">
        <f t="shared" si="31"/>
        <v>297118.02</v>
      </c>
      <c r="Z15" s="43">
        <f t="shared" si="31"/>
        <v>387383.43999999994</v>
      </c>
      <c r="AA15" s="267">
        <f t="shared" si="31"/>
        <v>0</v>
      </c>
      <c r="AB15" s="43">
        <f t="shared" si="31"/>
        <v>315160.01</v>
      </c>
      <c r="AC15" s="43">
        <f t="shared" si="31"/>
        <v>393240.57</v>
      </c>
      <c r="AD15" s="140">
        <f t="shared" si="31"/>
        <v>1.2000000000043656</v>
      </c>
      <c r="AE15" s="228">
        <f t="shared" si="31"/>
        <v>1117247.69</v>
      </c>
      <c r="AF15" s="43">
        <f t="shared" si="31"/>
        <v>315057.8</v>
      </c>
      <c r="AG15" s="43">
        <f t="shared" si="31"/>
        <v>387906.53</v>
      </c>
      <c r="AH15" s="140">
        <f t="shared" si="31"/>
        <v>0</v>
      </c>
      <c r="AI15" s="43">
        <f t="shared" si="31"/>
        <v>310421.67</v>
      </c>
      <c r="AJ15" s="43">
        <f t="shared" si="31"/>
        <v>379198.16000000003</v>
      </c>
      <c r="AK15" s="140">
        <f t="shared" si="31"/>
        <v>105.59000000000378</v>
      </c>
      <c r="AL15" s="43">
        <f t="shared" si="31"/>
        <v>263142.67000000004</v>
      </c>
      <c r="AM15" s="43">
        <f t="shared" si="31"/>
        <v>343088.06</v>
      </c>
      <c r="AN15" s="140">
        <f t="shared" si="31"/>
        <v>1828.0900000000038</v>
      </c>
      <c r="AO15" s="43">
        <f t="shared" si="31"/>
        <v>1110192.75</v>
      </c>
      <c r="AP15" s="43">
        <f t="shared" si="31"/>
        <v>269782.6066666667</v>
      </c>
      <c r="AQ15" s="35">
        <f t="shared" si="31"/>
        <v>1934.88</v>
      </c>
      <c r="AR15" s="43">
        <f t="shared" si="31"/>
        <v>445800</v>
      </c>
      <c r="AS15" s="43">
        <f t="shared" si="31"/>
        <v>290000</v>
      </c>
      <c r="AT15" s="43">
        <f t="shared" si="31"/>
        <v>66000</v>
      </c>
      <c r="AU15" s="43">
        <f t="shared" si="31"/>
        <v>324247.69</v>
      </c>
      <c r="AV15" s="43">
        <f t="shared" si="31"/>
        <v>356043.45000000007</v>
      </c>
      <c r="AW15" s="43">
        <f t="shared" si="31"/>
        <v>429333.2899999999</v>
      </c>
      <c r="AX15" s="140">
        <f t="shared" si="31"/>
        <v>4714.230000000003</v>
      </c>
      <c r="AY15" s="528">
        <f>AY12</f>
        <v>324206.88700000005</v>
      </c>
      <c r="AZ15" s="140">
        <f aca="true" t="shared" si="32" ref="AZ15:BP15">AZ12+AZ14</f>
        <v>4714.230000000003</v>
      </c>
      <c r="BA15" s="43">
        <f t="shared" si="32"/>
        <v>136260</v>
      </c>
      <c r="BB15" s="43">
        <f t="shared" si="32"/>
        <v>188095</v>
      </c>
      <c r="BC15" s="43">
        <f t="shared" si="32"/>
        <v>294494.11999999994</v>
      </c>
      <c r="BD15" s="43">
        <f t="shared" si="32"/>
        <v>299208.35</v>
      </c>
      <c r="BE15" s="43">
        <f aca="true" t="shared" si="33" ref="BE15:BL15">BE12+BE14</f>
        <v>150000</v>
      </c>
      <c r="BF15" s="43">
        <f t="shared" si="33"/>
        <v>109393.07999999999</v>
      </c>
      <c r="BG15" s="43">
        <f t="shared" si="33"/>
        <v>40606.92</v>
      </c>
      <c r="BH15" s="43">
        <f t="shared" si="33"/>
        <v>408601.43</v>
      </c>
      <c r="BI15" s="43">
        <f t="shared" si="33"/>
        <v>7000</v>
      </c>
      <c r="BJ15" s="43">
        <f t="shared" si="33"/>
        <v>191705</v>
      </c>
      <c r="BK15" s="43">
        <f t="shared" si="33"/>
        <v>198705</v>
      </c>
      <c r="BL15" s="43">
        <f t="shared" si="33"/>
        <v>239311.91999999998</v>
      </c>
      <c r="BM15" s="43">
        <f t="shared" si="32"/>
        <v>1077246.6399999997</v>
      </c>
      <c r="BN15" s="43">
        <f t="shared" si="32"/>
        <v>4400153.04</v>
      </c>
      <c r="BO15" s="43">
        <f t="shared" si="32"/>
        <v>3752239.69</v>
      </c>
      <c r="BP15" s="228">
        <f t="shared" si="32"/>
        <v>0</v>
      </c>
    </row>
    <row r="16" spans="1:67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S19*100/U15</f>
        <v>0.3968564224092822</v>
      </c>
      <c r="W16" s="144"/>
      <c r="X16" s="144"/>
      <c r="Y16" s="144"/>
      <c r="Z16" s="402" t="s">
        <v>64</v>
      </c>
      <c r="AA16" s="403">
        <f>-(AA15)</f>
        <v>0</v>
      </c>
      <c r="AB16" s="144"/>
      <c r="AC16" s="402" t="s">
        <v>64</v>
      </c>
      <c r="AD16" s="403">
        <f>-(AD5+AD7+AD8+AD9+AD10+AD11+AD13)</f>
        <v>78081.75999999998</v>
      </c>
      <c r="AE16" s="144"/>
      <c r="AF16" s="144"/>
      <c r="AG16" s="402" t="s">
        <v>64</v>
      </c>
      <c r="AH16" s="403">
        <f>-(AH5+AH6+AH7+AH8+AH9+AH11+AH13)</f>
        <v>72848.72999999998</v>
      </c>
      <c r="AI16" s="144"/>
      <c r="AJ16" s="402" t="s">
        <v>64</v>
      </c>
      <c r="AK16" s="403">
        <f>-(AK5+AK7+AK8+AK9+AK11+AK13)-83.06</f>
        <v>68799.02000000002</v>
      </c>
      <c r="AL16" s="170"/>
      <c r="AM16" s="402" t="s">
        <v>64</v>
      </c>
      <c r="AN16" s="403">
        <f>-(AN7+AN8+AN9+AN10+AN11+AN13)</f>
        <v>81773.48</v>
      </c>
      <c r="AO16" s="486"/>
      <c r="AP16" s="486"/>
      <c r="AQ16" s="486"/>
      <c r="AR16" s="486"/>
      <c r="AS16" s="487"/>
      <c r="AT16" s="31"/>
      <c r="AU16" s="31"/>
      <c r="AV16" s="31"/>
      <c r="AW16" s="402" t="s">
        <v>64</v>
      </c>
      <c r="AX16" s="403">
        <f>AX5+AX7+AX8+AX9+AX11+AX13</f>
        <v>78004.07447252629</v>
      </c>
      <c r="AY16" s="404" t="s">
        <v>172</v>
      </c>
      <c r="AZ16" s="529">
        <f>AX15*100/AY15</f>
        <v>1.454080770344648</v>
      </c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272"/>
      <c r="BO16" s="230"/>
    </row>
    <row r="17" spans="1:67" s="42" customFormat="1" ht="25.5" customHeight="1" thickBot="1">
      <c r="A17" s="29"/>
      <c r="B17" s="40"/>
      <c r="C17" s="504"/>
      <c r="D17" s="144"/>
      <c r="E17" s="505"/>
      <c r="F17" s="270"/>
      <c r="G17" s="506"/>
      <c r="H17" s="31"/>
      <c r="I17" s="31"/>
      <c r="J17" s="296"/>
      <c r="K17" s="296"/>
      <c r="L17" s="507"/>
      <c r="M17" s="269"/>
      <c r="N17" s="269"/>
      <c r="O17" s="270"/>
      <c r="P17" s="356"/>
      <c r="Q17" s="144"/>
      <c r="R17" s="508"/>
      <c r="S17" s="508"/>
      <c r="T17" s="356"/>
      <c r="U17" s="356"/>
      <c r="V17" s="509"/>
      <c r="W17" s="144"/>
      <c r="X17" s="144"/>
      <c r="Y17" s="144"/>
      <c r="Z17" s="144"/>
      <c r="AA17" s="76"/>
      <c r="AB17" s="144"/>
      <c r="AC17" s="144"/>
      <c r="AD17" s="76"/>
      <c r="AE17" s="144"/>
      <c r="AF17" s="144"/>
      <c r="AG17" s="144"/>
      <c r="AH17" s="76"/>
      <c r="AI17" s="144"/>
      <c r="AJ17" s="144"/>
      <c r="AK17" s="76"/>
      <c r="AL17" s="144"/>
      <c r="AM17" s="404" t="s">
        <v>171</v>
      </c>
      <c r="AN17" s="498">
        <f>1.2+105.59+1828.09</f>
        <v>1934.8799999999999</v>
      </c>
      <c r="AO17" s="496" t="s">
        <v>172</v>
      </c>
      <c r="AP17" s="497">
        <f>AN17*100/AP15</f>
        <v>0.7171996830732181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272"/>
      <c r="BO17" s="230"/>
    </row>
    <row r="18" spans="1:67" s="42" customFormat="1" ht="25.5" customHeight="1" thickBot="1">
      <c r="A18" s="29"/>
      <c r="B18" s="40"/>
      <c r="C18" s="504"/>
      <c r="D18" s="144"/>
      <c r="E18" s="505"/>
      <c r="F18" s="270"/>
      <c r="G18" s="506"/>
      <c r="H18" s="31"/>
      <c r="I18" s="31"/>
      <c r="J18" s="296"/>
      <c r="K18" s="296"/>
      <c r="L18" s="507"/>
      <c r="M18" s="269"/>
      <c r="N18" s="269"/>
      <c r="O18" s="270"/>
      <c r="P18" s="356"/>
      <c r="Q18" s="144"/>
      <c r="R18" s="508"/>
      <c r="S18" s="508"/>
      <c r="T18" s="356"/>
      <c r="U18" s="356"/>
      <c r="V18" s="509"/>
      <c r="W18" s="144"/>
      <c r="X18" s="144"/>
      <c r="Y18" s="144"/>
      <c r="Z18" s="144"/>
      <c r="AA18" s="76"/>
      <c r="AB18" s="144"/>
      <c r="AC18" s="144"/>
      <c r="AD18" s="76"/>
      <c r="AE18" s="144"/>
      <c r="AF18" s="144"/>
      <c r="AG18" s="144"/>
      <c r="AH18" s="76"/>
      <c r="AI18" s="144"/>
      <c r="AJ18" s="144"/>
      <c r="AK18" s="76"/>
      <c r="AL18" s="144"/>
      <c r="AM18" s="144"/>
      <c r="AN18" s="76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272"/>
      <c r="BO18" s="230"/>
    </row>
    <row r="19" spans="1:115" s="42" customFormat="1" ht="18.75" customHeight="1" thickBot="1">
      <c r="A19" s="29"/>
      <c r="B19" s="40"/>
      <c r="C19" s="66"/>
      <c r="D19" s="31"/>
      <c r="E19" s="41"/>
      <c r="F19" s="31"/>
      <c r="G19" s="31"/>
      <c r="H19" s="31"/>
      <c r="I19" s="31"/>
      <c r="J19" s="555"/>
      <c r="K19" s="555"/>
      <c r="L19" s="31"/>
      <c r="M19" s="31"/>
      <c r="N19" s="31"/>
      <c r="O19" s="278"/>
      <c r="P19" s="31"/>
      <c r="Q19" s="581" t="s">
        <v>106</v>
      </c>
      <c r="R19" s="582"/>
      <c r="S19" s="353">
        <f>P15+T15</f>
        <v>1063.9400000000023</v>
      </c>
      <c r="BN19" s="226"/>
      <c r="BO19" s="226"/>
      <c r="BP19" s="226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</row>
    <row r="20" spans="2:68" s="28" customFormat="1" ht="52.5" customHeight="1" thickBot="1">
      <c r="B20" s="57" t="s">
        <v>16</v>
      </c>
      <c r="C20" s="176" t="s">
        <v>51</v>
      </c>
      <c r="D20" s="18" t="s">
        <v>52</v>
      </c>
      <c r="E20" s="37" t="s">
        <v>18</v>
      </c>
      <c r="F20" s="72" t="s">
        <v>53</v>
      </c>
      <c r="G20" s="129" t="s">
        <v>33</v>
      </c>
      <c r="H20" s="18" t="s">
        <v>54</v>
      </c>
      <c r="I20" s="130" t="s">
        <v>56</v>
      </c>
      <c r="J20" s="132" t="s">
        <v>57</v>
      </c>
      <c r="K20" s="37" t="s">
        <v>19</v>
      </c>
      <c r="L20" s="72" t="s">
        <v>37</v>
      </c>
      <c r="M20" s="19" t="s">
        <v>84</v>
      </c>
      <c r="N20" s="300" t="s">
        <v>77</v>
      </c>
      <c r="O20" s="299" t="s">
        <v>32</v>
      </c>
      <c r="P20" s="72" t="s">
        <v>49</v>
      </c>
      <c r="Q20" s="185" t="s">
        <v>58</v>
      </c>
      <c r="R20" s="311" t="s">
        <v>86</v>
      </c>
      <c r="S20" s="37" t="s">
        <v>95</v>
      </c>
      <c r="T20" s="72" t="s">
        <v>96</v>
      </c>
      <c r="U20" s="372"/>
      <c r="V20" s="390" t="s">
        <v>122</v>
      </c>
      <c r="W20" s="334" t="s">
        <v>97</v>
      </c>
      <c r="X20" s="311" t="s">
        <v>88</v>
      </c>
      <c r="Y20" s="377" t="s">
        <v>123</v>
      </c>
      <c r="Z20" s="37" t="s">
        <v>127</v>
      </c>
      <c r="AA20" s="72" t="s">
        <v>128</v>
      </c>
      <c r="AB20" s="311" t="s">
        <v>89</v>
      </c>
      <c r="AC20" s="37" t="s">
        <v>132</v>
      </c>
      <c r="AD20" s="72" t="s">
        <v>133</v>
      </c>
      <c r="AE20" s="185" t="s">
        <v>87</v>
      </c>
      <c r="AF20" s="358" t="s">
        <v>99</v>
      </c>
      <c r="AG20" s="37" t="s">
        <v>136</v>
      </c>
      <c r="AH20" s="72" t="s">
        <v>137</v>
      </c>
      <c r="AI20" s="358" t="s">
        <v>98</v>
      </c>
      <c r="AJ20" s="37" t="s">
        <v>144</v>
      </c>
      <c r="AK20" s="72" t="s">
        <v>145</v>
      </c>
      <c r="AL20" s="311" t="s">
        <v>113</v>
      </c>
      <c r="AM20" s="37" t="s">
        <v>163</v>
      </c>
      <c r="AN20" s="72" t="s">
        <v>164</v>
      </c>
      <c r="AO20" s="357" t="s">
        <v>166</v>
      </c>
      <c r="AP20" s="130"/>
      <c r="AQ20" s="501" t="s">
        <v>170</v>
      </c>
      <c r="AR20" s="300" t="s">
        <v>153</v>
      </c>
      <c r="AS20" s="358" t="s">
        <v>102</v>
      </c>
      <c r="AT20" s="453" t="s">
        <v>154</v>
      </c>
      <c r="AU20" s="457" t="s">
        <v>155</v>
      </c>
      <c r="AV20" s="503" t="s">
        <v>174</v>
      </c>
      <c r="AW20" s="37" t="s">
        <v>176</v>
      </c>
      <c r="AX20" s="72" t="s">
        <v>177</v>
      </c>
      <c r="AY20" s="372"/>
      <c r="AZ20" s="530" t="s">
        <v>180</v>
      </c>
      <c r="BA20" s="358" t="s">
        <v>103</v>
      </c>
      <c r="BB20" s="453" t="s">
        <v>154</v>
      </c>
      <c r="BC20" s="130" t="s">
        <v>156</v>
      </c>
      <c r="BD20" s="503" t="s">
        <v>181</v>
      </c>
      <c r="BE20" s="548" t="s">
        <v>184</v>
      </c>
      <c r="BF20" s="559" t="s">
        <v>185</v>
      </c>
      <c r="BG20" s="560" t="s">
        <v>186</v>
      </c>
      <c r="BH20" s="568" t="s">
        <v>187</v>
      </c>
      <c r="BI20" s="358" t="s">
        <v>104</v>
      </c>
      <c r="BJ20" s="453" t="s">
        <v>154</v>
      </c>
      <c r="BK20" s="130" t="s">
        <v>190</v>
      </c>
      <c r="BL20" s="568" t="s">
        <v>188</v>
      </c>
      <c r="BM20" s="357" t="s">
        <v>189</v>
      </c>
      <c r="BN20" s="225" t="s">
        <v>159</v>
      </c>
      <c r="BO20" s="219" t="s">
        <v>55</v>
      </c>
      <c r="BP20" s="96" t="s">
        <v>130</v>
      </c>
    </row>
    <row r="21" spans="2:68" s="28" customFormat="1" ht="27.75" customHeight="1" thickBot="1">
      <c r="B21" s="58" t="s">
        <v>13</v>
      </c>
      <c r="C21" s="177">
        <v>6934030.47</v>
      </c>
      <c r="D21" s="59">
        <f>D15+'IAN2022-R'!D21</f>
        <v>511471.01</v>
      </c>
      <c r="E21" s="60">
        <f>E15+'IAN2022-R'!E21</f>
        <v>603378.3899999999</v>
      </c>
      <c r="F21" s="70">
        <f>F15+'IAN2022-R'!F21</f>
        <v>10790.510000000002</v>
      </c>
      <c r="G21" s="137"/>
      <c r="H21" s="85">
        <f>H15+'IAN2022-R'!H21</f>
        <v>478528.99</v>
      </c>
      <c r="I21" s="82">
        <f>I15+'IAN2022-R'!I21</f>
        <v>10790.510000000002</v>
      </c>
      <c r="J21" s="285">
        <f>J15+'FEB2022-R'!J21</f>
        <v>503109.49</v>
      </c>
      <c r="K21" s="286">
        <f>K15+'FEB2022-R'!K21</f>
        <v>603478.91</v>
      </c>
      <c r="L21" s="287">
        <f>'FEB2022-R'!L21</f>
        <v>3103.814863649889</v>
      </c>
      <c r="M21" s="288">
        <f>M15+'MAR2022-R'!P21</f>
        <v>487743.3148636499</v>
      </c>
      <c r="N21" s="301">
        <f>M15+'MAR2022-R'!P21</f>
        <v>487743.3148636499</v>
      </c>
      <c r="O21" s="289">
        <f>O15+'MAR2022-R'!Q21</f>
        <v>759655.66</v>
      </c>
      <c r="P21" s="82">
        <f>P15+'MAR2022-R'!R21</f>
        <v>986.0518275625462</v>
      </c>
      <c r="Q21" s="291">
        <f>Q15+'IUL2022-R'!S21</f>
        <v>1966512.96</v>
      </c>
      <c r="R21" s="290">
        <f>R15+'APR2022-R'!T21</f>
        <v>520804.25</v>
      </c>
      <c r="S21" s="350">
        <f>S15+'APR2022-R'!U21</f>
        <v>529631.6799999999</v>
      </c>
      <c r="T21" s="290">
        <f>T15+'APR2022-R'!V21</f>
        <v>16602.81</v>
      </c>
      <c r="U21" s="290"/>
      <c r="V21" s="82">
        <f>V15+'APR2022-R'!X21</f>
        <v>17588.86182756255</v>
      </c>
      <c r="W21" s="301">
        <f>W15+'APR2022-R'!Y21</f>
        <v>3206000</v>
      </c>
      <c r="X21" s="290">
        <f>X15+'APR2022-R'!Z21</f>
        <v>468266.26</v>
      </c>
      <c r="Y21" s="379">
        <f>Y15+'MAI2022-R'!AA21</f>
        <v>518660.4418275626</v>
      </c>
      <c r="Z21" s="350">
        <f>Z15+'MAI2022-R'!AB21</f>
        <v>693094.44</v>
      </c>
      <c r="AA21" s="82">
        <f>'MAI2022-R'!AC21</f>
        <v>341</v>
      </c>
      <c r="AB21" s="290">
        <f>AB15+'IUL2022-R'!AD21</f>
        <v>512500.01</v>
      </c>
      <c r="AC21" s="350">
        <f>AC15+'IUL2022-R'!AE21</f>
        <v>679824.5700000001</v>
      </c>
      <c r="AD21" s="82">
        <f>AD15+'IUL2022-R'!AF21</f>
        <v>390.20000000000437</v>
      </c>
      <c r="AE21" s="370">
        <f>AE15+'IUL2022-R'!AG21</f>
        <v>1902550.69</v>
      </c>
      <c r="AF21" s="290">
        <f>AF15+'IUL2022-R'!AH21</f>
        <v>499277.8</v>
      </c>
      <c r="AG21" s="350">
        <f>AG15+'IUL2022-R'!AI21</f>
        <v>626636.53</v>
      </c>
      <c r="AH21" s="82">
        <f>AH15+'IUL2022-R'!AJ21</f>
        <v>1067</v>
      </c>
      <c r="AI21" s="290">
        <f>AI15+'AUG2022-R'!AK21</f>
        <v>506538.67</v>
      </c>
      <c r="AJ21" s="350">
        <f>AJ15+'AUG2022-R'!AL21</f>
        <v>673000.16</v>
      </c>
      <c r="AK21" s="82">
        <f>AK15+'AUG2022-R'!AM21</f>
        <v>895.5900000000038</v>
      </c>
      <c r="AL21" s="290">
        <f>AL15+'SEP2022-R'!AN22</f>
        <v>460413.04000000004</v>
      </c>
      <c r="AM21" s="350">
        <f>AM15+'SEP2022-R'!AO22</f>
        <v>652579.06</v>
      </c>
      <c r="AN21" s="82">
        <f>AN15+'SEP2022-R'!AP22</f>
        <v>3583.4600000000028</v>
      </c>
      <c r="AO21" s="370">
        <f>AO15+'SEP2022-R'!AQ22</f>
        <v>1952215.75</v>
      </c>
      <c r="AP21" s="510"/>
      <c r="AQ21" s="82">
        <f>AQ15+'SEP2022-R'!AS22</f>
        <v>6277.25</v>
      </c>
      <c r="AR21" s="301">
        <f>AR15+'TR 4 2022-R'!AP22</f>
        <v>743000</v>
      </c>
      <c r="AS21" s="290">
        <f>AS15+'TR 4 2022-R'!AQ22</f>
        <v>487043</v>
      </c>
      <c r="AT21" s="459">
        <f>AT15+'TR 4 2022-R'!AR22</f>
        <v>111022</v>
      </c>
      <c r="AU21" s="460">
        <f>AU15+'SEP2022-R'!AW22</f>
        <v>564030.16</v>
      </c>
      <c r="AV21" s="290">
        <f>AV15+'dupaOCT2022-R'!AX22</f>
        <v>551495.8400000001</v>
      </c>
      <c r="AW21" s="350">
        <f>AW15+'dupaOCT2022-R'!AY22</f>
        <v>778249.2899999999</v>
      </c>
      <c r="AX21" s="82">
        <f>AX15+'dupaOCT2022-R'!AZ22</f>
        <v>8105.311652859542</v>
      </c>
      <c r="AY21" s="290"/>
      <c r="AZ21" s="82">
        <f>AZ15+'dupaOCT2022-R'!BB22</f>
        <v>8105.311652859543</v>
      </c>
      <c r="BA21" s="290">
        <f>BA15+'TR 4 2022-R'!AT22</f>
        <v>233642.41502272003</v>
      </c>
      <c r="BB21" s="459">
        <f>BB15+'TR 4 2022-R'!AU22</f>
        <v>310450</v>
      </c>
      <c r="BC21" s="290">
        <f>BC15+'dupaOCT2022-R'!BE22</f>
        <v>520694.49502271996</v>
      </c>
      <c r="BD21" s="290">
        <f>BD15+'dupaOCT2022-R'!BF22</f>
        <v>528799.8066755796</v>
      </c>
      <c r="BE21" s="301">
        <f>BE15+'suplimNOV-DEC-R'!BG22</f>
        <v>250000</v>
      </c>
      <c r="BF21" s="290">
        <f>BF15+'suplimNOV-DEC-R'!BH22</f>
        <v>160774.20399999997</v>
      </c>
      <c r="BG21" s="290">
        <f>BG15+'suplimNOV-DEC-R'!BI22</f>
        <v>89225.796</v>
      </c>
      <c r="BH21" s="570">
        <f>BH15+'suplimNOV-DEC-R'!BJ22</f>
        <v>689574.0106755795</v>
      </c>
      <c r="BI21" s="290">
        <f>BI15+'TR 4 2022-R'!AW22</f>
        <v>15314.58453192003</v>
      </c>
      <c r="BJ21" s="459">
        <f>BJ15+'TR 4 2022-R'!AX22</f>
        <v>321528</v>
      </c>
      <c r="BK21" s="290">
        <f>BK15+'dupaOCT2022-R'!BI22</f>
        <v>379052.07453192</v>
      </c>
      <c r="BL21" s="570">
        <f>BL15+'suplimNOV-DEC-R'!BN22</f>
        <v>468277.87053192</v>
      </c>
      <c r="BM21" s="291">
        <f>BM15+'suplimNOV-DEC-R'!BO22</f>
        <v>1936101.1712074992</v>
      </c>
      <c r="BN21" s="360">
        <f>BN15+'suplimNOV-DEC-R'!BP22</f>
        <v>7757380.571207499</v>
      </c>
      <c r="BO21" s="361">
        <f>BO15+'dupaOCT2022-R'!BL22</f>
        <v>6599528.6899999995</v>
      </c>
      <c r="BP21" s="290"/>
    </row>
    <row r="22" spans="3:67" ht="41.25" customHeight="1" thickBot="1">
      <c r="C22" s="246" t="s">
        <v>125</v>
      </c>
      <c r="D22" s="178">
        <v>82730.46999999974</v>
      </c>
      <c r="E22" s="295" t="s">
        <v>74</v>
      </c>
      <c r="F22" s="249">
        <f>E16+'IAN2022-R'!E22</f>
        <v>102697.89</v>
      </c>
      <c r="G22" s="583" t="s">
        <v>69</v>
      </c>
      <c r="H22" s="584"/>
      <c r="I22" s="584"/>
      <c r="J22" s="556" t="s">
        <v>78</v>
      </c>
      <c r="K22" s="557"/>
      <c r="L22" s="184">
        <f>L16+'FEB2022-R'!K22</f>
        <v>103473.23486364991</v>
      </c>
      <c r="N22" s="585" t="s">
        <v>91</v>
      </c>
      <c r="O22" s="586"/>
      <c r="P22" s="206">
        <f>P16+'MAR2022-R'!R22</f>
        <v>272898.39</v>
      </c>
      <c r="Q22" s="282"/>
      <c r="R22" s="585" t="s">
        <v>117</v>
      </c>
      <c r="S22" s="586"/>
      <c r="T22" s="206">
        <f>T16+'APR2022-R'!V22</f>
        <v>25430.23999999999</v>
      </c>
      <c r="U22" s="282"/>
      <c r="V22" s="282"/>
      <c r="W22" s="282"/>
      <c r="X22" s="371">
        <f>S19+'APR2022-R'!V24</f>
        <v>17588.86182756255</v>
      </c>
      <c r="Y22" s="585" t="s">
        <v>129</v>
      </c>
      <c r="Z22" s="586"/>
      <c r="AA22" s="401">
        <f>AA16+'MAI2022-R'!AB22</f>
        <v>84509.57895299152</v>
      </c>
      <c r="AB22" s="585" t="s">
        <v>135</v>
      </c>
      <c r="AC22" s="586"/>
      <c r="AD22" s="401">
        <f>AD16+'IUL2022-R'!AE22</f>
        <v>167504.75999999998</v>
      </c>
      <c r="AE22" s="282"/>
      <c r="AF22" s="282"/>
      <c r="AG22" s="585" t="s">
        <v>138</v>
      </c>
      <c r="AH22" s="586"/>
      <c r="AI22" s="401">
        <f>AH16+'IUL2022-R'!AJ22</f>
        <v>128425.72999999998</v>
      </c>
      <c r="AJ22" s="434" t="s">
        <v>146</v>
      </c>
      <c r="AK22" s="206">
        <f>AK16+'AUG2022-R'!AM22</f>
        <v>167274.02000000002</v>
      </c>
      <c r="AL22" s="488"/>
      <c r="AM22" s="434" t="s">
        <v>165</v>
      </c>
      <c r="AN22" s="206">
        <f>AN16+'SEP2022-R'!AP23</f>
        <v>195749.47999999998</v>
      </c>
      <c r="AO22" s="489"/>
      <c r="AP22" s="489"/>
      <c r="AQ22" s="489"/>
      <c r="AR22" s="489"/>
      <c r="AS22" s="490"/>
      <c r="AT22" s="282"/>
      <c r="AU22" s="282"/>
      <c r="AV22" s="282"/>
      <c r="AW22" s="434" t="s">
        <v>178</v>
      </c>
      <c r="AX22" s="206">
        <f>AX16+'dupaOCT2022-R'!AZ23</f>
        <v>234858.76457554306</v>
      </c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330"/>
      <c r="BO22" s="331"/>
    </row>
    <row r="23" spans="2:67" ht="23.25" customHeight="1" thickBot="1">
      <c r="B23" s="241" t="s">
        <v>79</v>
      </c>
      <c r="C23" s="242">
        <v>1485000</v>
      </c>
      <c r="D23" s="163"/>
      <c r="E23" s="198">
        <f>F22+L22</f>
        <v>206171.1248636499</v>
      </c>
      <c r="F23" s="303" t="s">
        <v>80</v>
      </c>
      <c r="G23" s="163"/>
      <c r="H23" s="163"/>
      <c r="I23" s="163"/>
      <c r="J23" s="88"/>
      <c r="K23" s="116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412" t="s">
        <v>134</v>
      </c>
      <c r="AD23" s="413">
        <f>'IUL2022-R'!AF24</f>
        <v>210.00000000000182</v>
      </c>
      <c r="AE23" s="88"/>
      <c r="AF23" s="88"/>
      <c r="AG23" s="88"/>
      <c r="AH23" s="88"/>
      <c r="AI23" s="88">
        <f>AI22-82730</f>
        <v>45695.72999999998</v>
      </c>
      <c r="AJ23" s="88"/>
      <c r="AK23" s="438"/>
      <c r="AL23" s="439">
        <f>AK22+AS22</f>
        <v>167274.02000000002</v>
      </c>
      <c r="AM23" s="479"/>
      <c r="AN23" s="479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450" t="s">
        <v>151</v>
      </c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  <c r="BL23" s="450"/>
      <c r="BM23" s="450"/>
      <c r="BN23" s="279" t="s">
        <v>70</v>
      </c>
      <c r="BO23" s="234">
        <f>BN21-7839910</f>
        <v>-82529.42879250087</v>
      </c>
    </row>
    <row r="24" spans="2:67" ht="25.5" customHeight="1" hidden="1" thickBot="1">
      <c r="B24" s="154"/>
      <c r="C24" s="155">
        <v>466000</v>
      </c>
      <c r="D24" s="164"/>
      <c r="E24" s="262"/>
      <c r="F24" s="164"/>
      <c r="G24" s="164"/>
      <c r="H24" s="164"/>
      <c r="I24" s="164"/>
      <c r="J24" s="280" t="s">
        <v>41</v>
      </c>
      <c r="K24" s="281" t="e">
        <f>L16+#REF!</f>
        <v>#REF!</v>
      </c>
      <c r="L24" s="164"/>
      <c r="M24" s="164"/>
      <c r="N24" s="164"/>
      <c r="O24" s="164"/>
      <c r="P24" s="164"/>
      <c r="Q24" s="159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233" t="e">
        <f>#REF!</f>
        <v>#REF!</v>
      </c>
      <c r="BO24" s="41" t="e">
        <f>BO23-#REF!</f>
        <v>#REF!</v>
      </c>
    </row>
    <row r="25" spans="2:67" ht="25.5" customHeight="1" hidden="1" thickBot="1">
      <c r="B25" s="157"/>
      <c r="C25" s="161"/>
      <c r="D25" s="158"/>
      <c r="E25" s="158"/>
      <c r="F25" s="158"/>
      <c r="G25" s="158"/>
      <c r="H25" s="158"/>
      <c r="I25" s="158"/>
      <c r="J25" s="158"/>
      <c r="K25" s="158"/>
      <c r="L25" s="158"/>
      <c r="M25" s="158" t="s">
        <v>42</v>
      </c>
      <c r="N25" s="158"/>
      <c r="O25" s="158"/>
      <c r="P25" s="158"/>
      <c r="Q25" s="161" t="e">
        <f>C23+Q23-K24</f>
        <v>#REF!</v>
      </c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232">
        <v>667000</v>
      </c>
      <c r="BO25" s="211"/>
    </row>
    <row r="26" spans="2:67" ht="25.5" customHeight="1" hidden="1" thickBot="1">
      <c r="B26" s="188"/>
      <c r="C26" s="199">
        <v>3070000</v>
      </c>
      <c r="D26" s="162"/>
      <c r="E26" s="209">
        <v>3186320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5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116" t="e">
        <f>BN24-BN25</f>
        <v>#REF!</v>
      </c>
      <c r="BO26" s="36"/>
    </row>
    <row r="27" spans="2:67" ht="19.5" customHeight="1" hidden="1" thickBot="1">
      <c r="B27" s="188"/>
      <c r="C27" s="214">
        <v>72293.07</v>
      </c>
      <c r="D27" s="215"/>
      <c r="E27" s="215">
        <v>3323950</v>
      </c>
      <c r="Q27" s="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116"/>
      <c r="BO27" s="36"/>
    </row>
    <row r="28" spans="2:67" ht="25.5" customHeight="1" hidden="1" thickBot="1">
      <c r="B28" s="217"/>
      <c r="C28" s="218">
        <v>3982180</v>
      </c>
      <c r="Q28" s="152">
        <v>3982180</v>
      </c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210"/>
      <c r="BO28" s="212"/>
    </row>
    <row r="29" spans="2:67" ht="24" customHeight="1" thickBot="1">
      <c r="B29" s="188"/>
      <c r="C29" s="220"/>
      <c r="D29" s="221"/>
      <c r="E29" s="222"/>
      <c r="AM29" s="28" t="s">
        <v>168</v>
      </c>
      <c r="AN29" s="28" t="s">
        <v>167</v>
      </c>
      <c r="AO29" s="71">
        <f>1.2+105.59+1828.09</f>
        <v>1934.8799999999999</v>
      </c>
      <c r="AP29" s="71"/>
      <c r="AQ29" s="71"/>
      <c r="BA29" s="420"/>
      <c r="BB29" s="451"/>
      <c r="BC29" s="451"/>
      <c r="BD29" s="531"/>
      <c r="BE29" s="531"/>
      <c r="BF29" s="531"/>
      <c r="BG29" s="531"/>
      <c r="BH29" s="531"/>
      <c r="BI29" s="451"/>
      <c r="BJ29" s="451"/>
      <c r="BK29" s="451"/>
      <c r="BL29" s="531"/>
      <c r="BM29" s="455"/>
      <c r="BN29" s="446"/>
      <c r="BO29" s="447"/>
    </row>
    <row r="30" spans="2:67" ht="15" customHeight="1" thickBot="1">
      <c r="B30" s="223" t="s">
        <v>60</v>
      </c>
      <c r="C30" s="244" t="s">
        <v>191</v>
      </c>
      <c r="D30" s="247" t="s">
        <v>118</v>
      </c>
      <c r="E30" s="183"/>
      <c r="F30" s="302"/>
      <c r="G30" s="302"/>
      <c r="H30" s="302"/>
      <c r="I30" s="302"/>
      <c r="J30" s="302"/>
      <c r="K30" s="302"/>
      <c r="L30" s="302"/>
      <c r="M30" s="302"/>
      <c r="N30" s="216"/>
      <c r="O30" s="216"/>
      <c r="P30" s="216"/>
      <c r="Q30" s="243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89"/>
      <c r="AD30" s="304"/>
      <c r="AE30" s="304"/>
      <c r="AF30" s="304"/>
      <c r="AG30" s="304"/>
      <c r="AH30" s="304"/>
      <c r="AI30" s="304"/>
      <c r="AJ30" s="304"/>
      <c r="AK30" s="304"/>
      <c r="AL30" s="304"/>
      <c r="AM30" s="492"/>
      <c r="AN30" s="493" t="s">
        <v>169</v>
      </c>
      <c r="AO30" s="494">
        <f>341+389+1067+790+1755.37</f>
        <v>4342.37</v>
      </c>
      <c r="AP30" s="36"/>
      <c r="AQ30" s="36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478"/>
      <c r="BO30" s="1" t="s">
        <v>175</v>
      </c>
    </row>
    <row r="31" spans="2:67" ht="25.5" customHeight="1" thickBot="1">
      <c r="B31" s="326" t="s">
        <v>92</v>
      </c>
      <c r="C31" s="327" t="s">
        <v>93</v>
      </c>
      <c r="D31" s="2" t="s">
        <v>120</v>
      </c>
      <c r="AF31" s="420"/>
      <c r="AG31" s="421"/>
      <c r="AH31" s="552"/>
      <c r="AI31" s="552"/>
      <c r="AO31" s="82">
        <f>AO29+AO30</f>
        <v>6277.25</v>
      </c>
      <c r="AP31" s="71"/>
      <c r="AQ31" s="71"/>
      <c r="BO31" s="511">
        <v>44886</v>
      </c>
    </row>
    <row r="32" spans="2:5" ht="22.5" customHeight="1" hidden="1" thickBot="1">
      <c r="B32" s="328" t="s">
        <v>94</v>
      </c>
      <c r="C32" s="329">
        <f>1773.9+500</f>
        <v>2273.9</v>
      </c>
      <c r="E32" s="26">
        <f>E21+K21+N21</f>
        <v>1694600.6148636497</v>
      </c>
    </row>
  </sheetData>
  <sheetProtection/>
  <mergeCells count="12">
    <mergeCell ref="AG22:AH22"/>
    <mergeCell ref="AB22:AC22"/>
    <mergeCell ref="G22:I22"/>
    <mergeCell ref="N22:O22"/>
    <mergeCell ref="AH31:AI31"/>
    <mergeCell ref="J16:K16"/>
    <mergeCell ref="J19:K19"/>
    <mergeCell ref="J22:K22"/>
    <mergeCell ref="Y22:Z22"/>
    <mergeCell ref="R16:S16"/>
    <mergeCell ref="R22:S22"/>
    <mergeCell ref="Q19:R19"/>
  </mergeCells>
  <printOptions/>
  <pageMargins left="0.17" right="0.17" top="0.48" bottom="0.21" header="0.68" footer="0.17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Q30"/>
  <sheetViews>
    <sheetView workbookViewId="0" topLeftCell="A1">
      <pane xSplit="4365" topLeftCell="C1" activePane="topRight" state="split"/>
      <selection pane="topLeft" activeCell="A4" sqref="A4"/>
      <selection pane="topRight" activeCell="E30" sqref="E30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2.125" style="26" bestFit="1" customWidth="1"/>
    <col min="4" max="4" width="9.125" style="2" bestFit="1" customWidth="1"/>
    <col min="5" max="5" width="9.75390625" style="26" customWidth="1"/>
    <col min="6" max="6" width="9.875" style="2" bestFit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bestFit="1" customWidth="1"/>
    <col min="11" max="11" width="8.75390625" style="2" bestFit="1" customWidth="1"/>
    <col min="12" max="12" width="9.125" style="71" bestFit="1" customWidth="1"/>
    <col min="13" max="13" width="9.875" style="2" bestFit="1" customWidth="1"/>
    <col min="14" max="14" width="9.375" style="2" customWidth="1"/>
    <col min="15" max="15" width="9.50390625" style="2" hidden="1" customWidth="1"/>
    <col min="16" max="16" width="9.625" style="2" hidden="1" customWidth="1"/>
    <col min="17" max="17" width="10.00390625" style="2" hidden="1" customWidth="1"/>
    <col min="18" max="18" width="9.375" style="2" hidden="1" customWidth="1"/>
    <col min="19" max="19" width="10.625" style="1" customWidth="1"/>
    <col min="20" max="20" width="11.375" style="105" customWidth="1"/>
    <col min="21" max="21" width="11.375" style="1" bestFit="1" customWidth="1"/>
    <col min="22" max="22" width="10.00390625" style="1" customWidth="1"/>
    <col min="23" max="16384" width="9.00390625" style="1" customWidth="1"/>
  </cols>
  <sheetData>
    <row r="1" spans="1:21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Q1" s="2"/>
      <c r="R1" s="2"/>
      <c r="T1" s="105"/>
      <c r="U1" s="139" t="s">
        <v>35</v>
      </c>
    </row>
    <row r="2" ht="10.5" customHeight="1">
      <c r="A2" s="8"/>
    </row>
    <row r="3" spans="1:20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Q3" s="2"/>
      <c r="R3" s="2"/>
      <c r="T3" s="156"/>
    </row>
    <row r="4" spans="1:22" s="9" customFormat="1" ht="45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9" t="s">
        <v>38</v>
      </c>
      <c r="N4" s="18"/>
      <c r="O4" s="37" t="s">
        <v>32</v>
      </c>
      <c r="P4" s="72" t="s">
        <v>49</v>
      </c>
      <c r="Q4" s="129" t="s">
        <v>45</v>
      </c>
      <c r="R4" s="129" t="s">
        <v>46</v>
      </c>
      <c r="S4" s="185" t="s">
        <v>58</v>
      </c>
      <c r="T4" s="225" t="s">
        <v>59</v>
      </c>
      <c r="U4" s="219" t="s">
        <v>55</v>
      </c>
      <c r="V4" s="96" t="s">
        <v>72</v>
      </c>
    </row>
    <row r="5" spans="1:22" s="5" customFormat="1" ht="30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/>
      <c r="P5" s="23">
        <f aca="true" t="shared" si="2" ref="P5:P11">M5-O5</f>
        <v>43711.33</v>
      </c>
      <c r="Q5" s="23"/>
      <c r="R5" s="23"/>
      <c r="S5" s="186">
        <f>E5+K5+M5</f>
        <v>147411.35</v>
      </c>
      <c r="T5" s="133">
        <f aca="true" t="shared" si="3" ref="T5:T11">S5</f>
        <v>147411.35</v>
      </c>
      <c r="U5" s="90">
        <f>E5+K5</f>
        <v>103700.02</v>
      </c>
      <c r="V5" s="264">
        <v>0</v>
      </c>
    </row>
    <row r="6" spans="1:22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 aca="true" t="shared" si="4" ref="J6:J11"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/>
      <c r="P6" s="23">
        <f t="shared" si="2"/>
        <v>37048.18</v>
      </c>
      <c r="Q6" s="23"/>
      <c r="R6" s="23"/>
      <c r="S6" s="186">
        <f>E6+K6+M6</f>
        <v>106635</v>
      </c>
      <c r="T6" s="133">
        <f t="shared" si="3"/>
        <v>106635</v>
      </c>
      <c r="U6" s="90">
        <f>E6+K6</f>
        <v>69586.82</v>
      </c>
      <c r="V6" s="265">
        <v>0</v>
      </c>
    </row>
    <row r="7" spans="1:22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/>
      <c r="P7" s="23">
        <f t="shared" si="2"/>
        <v>23830.58</v>
      </c>
      <c r="Q7" s="23"/>
      <c r="R7" s="23"/>
      <c r="S7" s="186">
        <f aca="true" t="shared" si="5" ref="S7:S13">E7+K7+M7</f>
        <v>83969.04000000001</v>
      </c>
      <c r="T7" s="133">
        <f t="shared" si="3"/>
        <v>83969.04000000001</v>
      </c>
      <c r="U7" s="90">
        <f aca="true" t="shared" si="6" ref="U7:U13">E7+K7</f>
        <v>60138.46000000001</v>
      </c>
      <c r="V7" s="265">
        <v>0</v>
      </c>
    </row>
    <row r="8" spans="1:22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 t="shared" si="4"/>
        <v>29100.168872542992</v>
      </c>
      <c r="K8" s="38">
        <v>67292.77</v>
      </c>
      <c r="L8" s="202">
        <f t="shared" si="1"/>
        <v>-38192.60112745701</v>
      </c>
      <c r="M8" s="24">
        <v>28026.9</v>
      </c>
      <c r="N8" s="23"/>
      <c r="O8" s="38"/>
      <c r="P8" s="202">
        <f t="shared" si="2"/>
        <v>28026.9</v>
      </c>
      <c r="Q8" s="23"/>
      <c r="R8" s="23"/>
      <c r="S8" s="186">
        <f t="shared" si="5"/>
        <v>158826.41</v>
      </c>
      <c r="T8" s="133">
        <f t="shared" si="3"/>
        <v>158826.41</v>
      </c>
      <c r="U8" s="90">
        <f t="shared" si="6"/>
        <v>130799.51000000001</v>
      </c>
      <c r="V8" s="265">
        <v>0</v>
      </c>
    </row>
    <row r="9" spans="1:22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</f>
        <v>60679.56</v>
      </c>
      <c r="N9" s="30"/>
      <c r="O9" s="79"/>
      <c r="P9" s="202">
        <f t="shared" si="2"/>
        <v>60679.56</v>
      </c>
      <c r="Q9" s="23"/>
      <c r="R9" s="23"/>
      <c r="S9" s="186">
        <f t="shared" si="5"/>
        <v>207008.2</v>
      </c>
      <c r="T9" s="133">
        <f t="shared" si="3"/>
        <v>207008.2</v>
      </c>
      <c r="U9" s="90">
        <f t="shared" si="6"/>
        <v>146328.64</v>
      </c>
      <c r="V9" s="265">
        <v>0</v>
      </c>
    </row>
    <row r="10" spans="1:22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 t="shared" si="4"/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/>
      <c r="P10" s="208">
        <f t="shared" si="2"/>
        <v>26039.26</v>
      </c>
      <c r="Q10" s="24"/>
      <c r="R10" s="24"/>
      <c r="S10" s="186">
        <f t="shared" si="5"/>
        <v>79681.67</v>
      </c>
      <c r="T10" s="133">
        <f t="shared" si="3"/>
        <v>79681.67</v>
      </c>
      <c r="U10" s="90">
        <f t="shared" si="6"/>
        <v>53642.41</v>
      </c>
      <c r="V10" s="265">
        <v>0</v>
      </c>
    </row>
    <row r="11" spans="1:22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 t="shared" si="4"/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/>
      <c r="P11" s="202">
        <f t="shared" si="2"/>
        <v>55820.45</v>
      </c>
      <c r="Q11" s="23"/>
      <c r="R11" s="23"/>
      <c r="S11" s="186">
        <f t="shared" si="5"/>
        <v>167343.89</v>
      </c>
      <c r="T11" s="133">
        <f t="shared" si="3"/>
        <v>167343.89</v>
      </c>
      <c r="U11" s="90">
        <f t="shared" si="6"/>
        <v>111523.44</v>
      </c>
      <c r="V11" s="265">
        <v>0</v>
      </c>
    </row>
    <row r="12" spans="1:22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7" ref="G12:V12">SUM(G5:G11)</f>
        <v>205261.1030769231</v>
      </c>
      <c r="H12" s="44">
        <f t="shared" si="7"/>
        <v>272549.07</v>
      </c>
      <c r="I12" s="44">
        <f t="shared" si="7"/>
        <v>5477.89</v>
      </c>
      <c r="J12" s="44">
        <f t="shared" si="7"/>
        <v>289870.7</v>
      </c>
      <c r="K12" s="44">
        <f t="shared" si="7"/>
        <v>341957.91000000003</v>
      </c>
      <c r="L12" s="44">
        <f t="shared" si="7"/>
        <v>-52087.210000000014</v>
      </c>
      <c r="M12" s="44">
        <f t="shared" si="7"/>
        <v>275156.26</v>
      </c>
      <c r="N12" s="44"/>
      <c r="O12" s="44">
        <f t="shared" si="7"/>
        <v>0</v>
      </c>
      <c r="P12" s="44">
        <f t="shared" si="7"/>
        <v>275156.26</v>
      </c>
      <c r="Q12" s="44">
        <f t="shared" si="7"/>
        <v>0</v>
      </c>
      <c r="R12" s="44">
        <f t="shared" si="7"/>
        <v>0</v>
      </c>
      <c r="S12" s="44">
        <f t="shared" si="7"/>
        <v>950875.56</v>
      </c>
      <c r="T12" s="44">
        <f t="shared" si="7"/>
        <v>950875.56</v>
      </c>
      <c r="U12" s="44">
        <f t="shared" si="7"/>
        <v>675719.3</v>
      </c>
      <c r="V12" s="228">
        <f t="shared" si="7"/>
        <v>0</v>
      </c>
    </row>
    <row r="13" spans="1:22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/>
      <c r="P13" s="23"/>
      <c r="Q13" s="23">
        <v>0</v>
      </c>
      <c r="R13" s="23">
        <v>0</v>
      </c>
      <c r="S13" s="186">
        <f t="shared" si="5"/>
        <v>37970</v>
      </c>
      <c r="T13" s="133">
        <f>S13</f>
        <v>37970</v>
      </c>
      <c r="U13" s="90">
        <f t="shared" si="6"/>
        <v>27970</v>
      </c>
      <c r="V13" s="265">
        <f>I13</f>
        <v>0</v>
      </c>
    </row>
    <row r="14" spans="1:22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8" ref="G14:V14">SUM(G13:G13)</f>
        <v>0</v>
      </c>
      <c r="H14" s="50">
        <f t="shared" si="8"/>
        <v>10000</v>
      </c>
      <c r="I14" s="50">
        <f t="shared" si="8"/>
        <v>0</v>
      </c>
      <c r="J14" s="50">
        <f t="shared" si="8"/>
        <v>10000</v>
      </c>
      <c r="K14" s="50">
        <f t="shared" si="8"/>
        <v>15600</v>
      </c>
      <c r="L14" s="50">
        <f t="shared" si="8"/>
        <v>-5600</v>
      </c>
      <c r="M14" s="50">
        <f t="shared" si="8"/>
        <v>10000</v>
      </c>
      <c r="N14" s="50"/>
      <c r="O14" s="50">
        <f t="shared" si="8"/>
        <v>0</v>
      </c>
      <c r="P14" s="50">
        <f t="shared" si="8"/>
        <v>0</v>
      </c>
      <c r="Q14" s="50">
        <f t="shared" si="8"/>
        <v>0</v>
      </c>
      <c r="R14" s="50">
        <f t="shared" si="8"/>
        <v>0</v>
      </c>
      <c r="S14" s="187">
        <f t="shared" si="8"/>
        <v>37970</v>
      </c>
      <c r="T14" s="50">
        <f t="shared" si="8"/>
        <v>37970</v>
      </c>
      <c r="U14" s="50">
        <f t="shared" si="8"/>
        <v>27970</v>
      </c>
      <c r="V14" s="50">
        <f t="shared" si="8"/>
        <v>0</v>
      </c>
    </row>
    <row r="15" spans="1:22" s="168" customFormat="1" ht="28.5" customHeight="1" thickBot="1">
      <c r="A15" s="166"/>
      <c r="B15" s="167" t="s">
        <v>4</v>
      </c>
      <c r="C15" s="106">
        <v>3643654.47</v>
      </c>
      <c r="D15" s="43">
        <f aca="true" t="shared" si="9" ref="D15:V15">D12+D14</f>
        <v>311450.93</v>
      </c>
      <c r="E15" s="43">
        <f t="shared" si="9"/>
        <v>346131.38999999996</v>
      </c>
      <c r="F15" s="35">
        <f t="shared" si="9"/>
        <v>5477.889999999999</v>
      </c>
      <c r="G15" s="43">
        <f t="shared" si="9"/>
        <v>205261.1030769231</v>
      </c>
      <c r="H15" s="43">
        <f t="shared" si="9"/>
        <v>282549.07</v>
      </c>
      <c r="I15" s="35">
        <f t="shared" si="9"/>
        <v>5477.89</v>
      </c>
      <c r="J15" s="43">
        <f t="shared" si="9"/>
        <v>299870.7</v>
      </c>
      <c r="K15" s="43">
        <f t="shared" si="9"/>
        <v>357557.91000000003</v>
      </c>
      <c r="L15" s="267">
        <f t="shared" si="9"/>
        <v>-57687.210000000014</v>
      </c>
      <c r="M15" s="43">
        <f t="shared" si="9"/>
        <v>285156.26</v>
      </c>
      <c r="N15" s="43"/>
      <c r="O15" s="43">
        <f t="shared" si="9"/>
        <v>0</v>
      </c>
      <c r="P15" s="140">
        <f t="shared" si="9"/>
        <v>275156.26</v>
      </c>
      <c r="Q15" s="43">
        <f t="shared" si="9"/>
        <v>0</v>
      </c>
      <c r="R15" s="203">
        <f t="shared" si="9"/>
        <v>0</v>
      </c>
      <c r="S15" s="106">
        <f t="shared" si="9"/>
        <v>988845.56</v>
      </c>
      <c r="T15" s="43">
        <f t="shared" si="9"/>
        <v>988845.56</v>
      </c>
      <c r="U15" s="43">
        <f t="shared" si="9"/>
        <v>703689.3</v>
      </c>
      <c r="V15" s="228">
        <f t="shared" si="9"/>
        <v>0</v>
      </c>
    </row>
    <row r="16" spans="1:21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271"/>
      <c r="Q16" s="144"/>
      <c r="R16" s="144"/>
      <c r="S16" s="144"/>
      <c r="T16" s="272"/>
      <c r="U16" s="230"/>
    </row>
    <row r="17" spans="1:69" s="42" customFormat="1" ht="34.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Q17" s="589"/>
      <c r="R17" s="589"/>
      <c r="T17" s="226"/>
      <c r="U17" s="226"/>
      <c r="V17" s="226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</row>
    <row r="18" spans="2:22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38</v>
      </c>
      <c r="N18" s="300" t="s">
        <v>77</v>
      </c>
      <c r="O18" s="299" t="s">
        <v>32</v>
      </c>
      <c r="P18" s="72" t="s">
        <v>49</v>
      </c>
      <c r="Q18" s="129" t="s">
        <v>45</v>
      </c>
      <c r="R18" s="129" t="s">
        <v>46</v>
      </c>
      <c r="S18" s="185" t="s">
        <v>58</v>
      </c>
      <c r="T18" s="225" t="s">
        <v>59</v>
      </c>
      <c r="U18" s="219" t="s">
        <v>55</v>
      </c>
      <c r="V18" s="96" t="s">
        <v>72</v>
      </c>
    </row>
    <row r="19" spans="2:22" s="28" customFormat="1" ht="43.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M15+'FEB2022-R'!N21</f>
        <v>481210.01</v>
      </c>
      <c r="N19" s="301">
        <f>M15+'FEB2022-R'!P21</f>
        <v>484313.8248636499</v>
      </c>
      <c r="O19" s="289"/>
      <c r="P19" s="82" t="e">
        <f>M16+#REF!</f>
        <v>#REF!</v>
      </c>
      <c r="Q19" s="290"/>
      <c r="R19" s="82" t="e">
        <f>R15+#REF!</f>
        <v>#REF!</v>
      </c>
      <c r="S19" s="291">
        <f>S15+'FEB2022-R'!U21</f>
        <v>1691171.12486365</v>
      </c>
      <c r="T19" s="292">
        <f>T15+'FEB2022-R'!V21</f>
        <v>1691171.12486365</v>
      </c>
      <c r="U19" s="293">
        <f>U15+'FEB2022-R'!W21</f>
        <v>1206857.3</v>
      </c>
      <c r="V19" s="294">
        <f>V15+'IAN2022-R'!U21</f>
        <v>0</v>
      </c>
    </row>
    <row r="20" spans="3:21" ht="41.25" customHeight="1" thickBot="1">
      <c r="C20" s="246" t="s">
        <v>65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M20" s="590"/>
      <c r="N20" s="590"/>
      <c r="O20" s="590"/>
      <c r="P20" s="282"/>
      <c r="Q20" s="591"/>
      <c r="R20" s="591"/>
      <c r="S20" s="282"/>
      <c r="T20" s="283"/>
      <c r="U20" s="284"/>
    </row>
    <row r="21" spans="2:21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279" t="s">
        <v>70</v>
      </c>
      <c r="U21" s="234">
        <f>T19-1670430</f>
        <v>20741.12486364995</v>
      </c>
    </row>
    <row r="22" spans="2:21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64"/>
      <c r="R22" s="164"/>
      <c r="S22" s="159"/>
      <c r="T22" s="233" t="e">
        <f>#REF!</f>
        <v>#REF!</v>
      </c>
      <c r="U22" s="41" t="e">
        <f>U21-#REF!</f>
        <v>#REF!</v>
      </c>
    </row>
    <row r="23" spans="2:21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58"/>
      <c r="R23" s="158"/>
      <c r="S23" s="161" t="e">
        <f>C21+S21-K22</f>
        <v>#REF!</v>
      </c>
      <c r="T23" s="232">
        <v>667000</v>
      </c>
      <c r="U23" s="211"/>
    </row>
    <row r="24" spans="2:21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5"/>
      <c r="T24" s="116" t="e">
        <f>T22-T23</f>
        <v>#REF!</v>
      </c>
      <c r="U24" s="36"/>
    </row>
    <row r="25" spans="2:21" ht="19.5" customHeight="1" hidden="1" thickBot="1">
      <c r="B25" s="188"/>
      <c r="C25" s="214">
        <v>72293.07</v>
      </c>
      <c r="D25" s="215"/>
      <c r="E25" s="215">
        <v>3323950</v>
      </c>
      <c r="S25" s="2"/>
      <c r="T25" s="116"/>
      <c r="U25" s="36"/>
    </row>
    <row r="26" spans="2:21" ht="25.5" customHeight="1" hidden="1" thickBot="1">
      <c r="B26" s="217"/>
      <c r="C26" s="218">
        <v>3982180</v>
      </c>
      <c r="S26" s="152">
        <v>3982180</v>
      </c>
      <c r="T26" s="210"/>
      <c r="U26" s="212"/>
    </row>
    <row r="27" spans="2:21" ht="15" customHeight="1" thickBot="1">
      <c r="B27" s="188"/>
      <c r="C27" s="220"/>
      <c r="D27" s="221"/>
      <c r="E27" s="222"/>
      <c r="T27" s="210"/>
      <c r="U27" s="100"/>
    </row>
    <row r="28" spans="2:20" ht="25.5" customHeight="1" thickBot="1">
      <c r="B28" s="223" t="s">
        <v>60</v>
      </c>
      <c r="C28" s="244" t="s">
        <v>81</v>
      </c>
      <c r="D28" s="247" t="s">
        <v>82</v>
      </c>
      <c r="E28" s="183"/>
      <c r="F28" s="302"/>
      <c r="G28" s="302"/>
      <c r="H28" s="302"/>
      <c r="I28" s="302"/>
      <c r="J28" s="302"/>
      <c r="K28" s="302"/>
      <c r="L28" s="216"/>
      <c r="M28" s="216"/>
      <c r="N28" s="216"/>
      <c r="O28" s="216"/>
      <c r="P28" s="216"/>
      <c r="Q28" s="216"/>
      <c r="R28" s="216"/>
      <c r="S28" s="243"/>
      <c r="T28" s="227">
        <v>44632</v>
      </c>
    </row>
    <row r="30" ht="25.5" customHeight="1">
      <c r="E30" s="26">
        <f>E19+K19+N19</f>
        <v>1691171.1248636497</v>
      </c>
    </row>
  </sheetData>
  <sheetProtection/>
  <mergeCells count="7">
    <mergeCell ref="J16:K16"/>
    <mergeCell ref="J17:K17"/>
    <mergeCell ref="J20:K20"/>
    <mergeCell ref="Q17:R17"/>
    <mergeCell ref="M20:O20"/>
    <mergeCell ref="Q20:R20"/>
    <mergeCell ref="G20:I20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Q69"/>
  <sheetViews>
    <sheetView workbookViewId="0" topLeftCell="A1">
      <selection activeCell="V18" sqref="V18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75390625" style="69" bestFit="1" customWidth="1"/>
    <col min="4" max="4" width="8.625" style="2" bestFit="1" customWidth="1"/>
    <col min="5" max="5" width="8.75390625" style="26" bestFit="1" customWidth="1"/>
    <col min="6" max="6" width="9.00390625" style="2" bestFit="1" customWidth="1"/>
    <col min="7" max="7" width="8.875" style="2" bestFit="1" customWidth="1"/>
    <col min="8" max="8" width="8.625" style="21" bestFit="1" customWidth="1"/>
    <col min="9" max="9" width="8.25390625" style="21" bestFit="1" customWidth="1"/>
    <col min="10" max="10" width="8.625" style="69" bestFit="1" customWidth="1"/>
    <col min="11" max="11" width="8.75390625" style="21" hidden="1" customWidth="1"/>
    <col min="12" max="12" width="7.75390625" style="67" hidden="1" customWidth="1"/>
    <col min="13" max="13" width="8.625" style="21" hidden="1" customWidth="1"/>
    <col min="14" max="14" width="9.50390625" style="67" hidden="1" customWidth="1"/>
    <col min="15" max="15" width="8.50390625" style="67" hidden="1" customWidth="1"/>
    <col min="16" max="16" width="8.875" style="67" hidden="1" customWidth="1"/>
    <col min="17" max="17" width="8.625" style="67" hidden="1" customWidth="1"/>
    <col min="18" max="18" width="10.125" style="8" customWidth="1"/>
    <col min="19" max="19" width="10.875" style="26" customWidth="1"/>
    <col min="20" max="20" width="10.625" style="2" customWidth="1"/>
    <col min="21" max="21" width="10.625" style="1" customWidth="1"/>
    <col min="22" max="22" width="11.25390625" style="1" customWidth="1"/>
    <col min="23" max="16384" width="9.00390625" style="1" customWidth="1"/>
  </cols>
  <sheetData>
    <row r="1" spans="1:20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20"/>
      <c r="N1" s="73"/>
      <c r="O1" s="73"/>
      <c r="P1" s="73"/>
      <c r="Q1" s="73"/>
      <c r="R1" s="12"/>
      <c r="S1" s="25"/>
      <c r="T1" s="13"/>
    </row>
    <row r="2" ht="43.5" customHeight="1">
      <c r="A2" s="8"/>
    </row>
    <row r="3" spans="1:20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20"/>
      <c r="N3" s="73"/>
      <c r="O3" s="73"/>
      <c r="P3" s="73"/>
      <c r="Q3" s="73"/>
      <c r="R3" s="12"/>
      <c r="S3" s="25"/>
      <c r="T3" s="13"/>
    </row>
    <row r="4" spans="1:21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9" t="s">
        <v>38</v>
      </c>
      <c r="N4" s="37" t="s">
        <v>32</v>
      </c>
      <c r="O4" s="72" t="s">
        <v>49</v>
      </c>
      <c r="P4" s="129" t="s">
        <v>45</v>
      </c>
      <c r="Q4" s="129" t="s">
        <v>46</v>
      </c>
      <c r="R4" s="185" t="s">
        <v>58</v>
      </c>
      <c r="S4" s="225" t="s">
        <v>59</v>
      </c>
      <c r="T4" s="219" t="s">
        <v>55</v>
      </c>
      <c r="U4" s="96" t="s">
        <v>71</v>
      </c>
    </row>
    <row r="5" spans="1:21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/>
      <c r="L5" s="32"/>
      <c r="M5" s="32"/>
      <c r="N5" s="45"/>
      <c r="O5" s="32"/>
      <c r="P5" s="32"/>
      <c r="Q5" s="32"/>
      <c r="R5" s="78">
        <f>E5+J5</f>
        <v>198267.36</v>
      </c>
      <c r="S5" s="235">
        <f>R5</f>
        <v>198267.36</v>
      </c>
      <c r="T5" s="148">
        <f>E5</f>
        <v>97211</v>
      </c>
      <c r="U5" s="86">
        <f>I5-F5</f>
        <v>-4125.550000000003</v>
      </c>
    </row>
    <row r="6" spans="1:21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 aca="true" t="shared" si="0" ref="F6:F19"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</f>
        <v>43118.79445555966</v>
      </c>
      <c r="K6" s="45"/>
      <c r="L6" s="32"/>
      <c r="M6" s="33"/>
      <c r="N6" s="45"/>
      <c r="O6" s="204"/>
      <c r="P6" s="32"/>
      <c r="Q6" s="32"/>
      <c r="R6" s="77">
        <f>E6+J6</f>
        <v>97452.79445555966</v>
      </c>
      <c r="S6" s="236">
        <f>R6</f>
        <v>97452.79445555966</v>
      </c>
      <c r="T6" s="149">
        <f>E6</f>
        <v>54334</v>
      </c>
      <c r="U6" s="87">
        <f>I6</f>
        <v>1568.0044555596608</v>
      </c>
    </row>
    <row r="7" spans="1:21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 t="shared" si="0"/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 aca="true" t="shared" si="1" ref="J7:J19">H7+I7</f>
        <v>24417.97084145799</v>
      </c>
      <c r="K7" s="45"/>
      <c r="L7" s="32"/>
      <c r="M7" s="33"/>
      <c r="N7" s="45"/>
      <c r="O7" s="204"/>
      <c r="P7" s="32"/>
      <c r="Q7" s="32"/>
      <c r="R7" s="77">
        <f aca="true" t="shared" si="2" ref="R7:R19">E7+J7</f>
        <v>95697.970841458</v>
      </c>
      <c r="S7" s="236">
        <f aca="true" t="shared" si="3" ref="S7:S19">R7</f>
        <v>95697.970841458</v>
      </c>
      <c r="T7" s="149">
        <f aca="true" t="shared" si="4" ref="T7:T19">E7</f>
        <v>71280</v>
      </c>
      <c r="U7" s="87">
        <f>I7</f>
        <v>3097.6208414579914</v>
      </c>
    </row>
    <row r="8" spans="1:21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 t="shared" si="0"/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 t="shared" si="1"/>
        <v>11235.224863649888</v>
      </c>
      <c r="K8" s="45"/>
      <c r="L8" s="32"/>
      <c r="M8" s="33"/>
      <c r="N8" s="45"/>
      <c r="O8" s="32"/>
      <c r="P8" s="32"/>
      <c r="Q8" s="32"/>
      <c r="R8" s="77">
        <f t="shared" si="2"/>
        <v>24372.224863649888</v>
      </c>
      <c r="S8" s="236">
        <f t="shared" si="3"/>
        <v>24372.224863649888</v>
      </c>
      <c r="T8" s="149">
        <f t="shared" si="4"/>
        <v>13137</v>
      </c>
      <c r="U8" s="87">
        <f>I8</f>
        <v>404.09486364988953</v>
      </c>
    </row>
    <row r="9" spans="1:21" s="5" customFormat="1" ht="26.25" customHeigh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 t="shared" si="0"/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 t="shared" si="1"/>
        <v>6760.73983933246</v>
      </c>
      <c r="K9" s="45"/>
      <c r="L9" s="32"/>
      <c r="M9" s="33"/>
      <c r="N9" s="45"/>
      <c r="O9" s="204"/>
      <c r="P9" s="32"/>
      <c r="Q9" s="32"/>
      <c r="R9" s="77">
        <f t="shared" si="2"/>
        <v>14485.73983933246</v>
      </c>
      <c r="S9" s="236">
        <f t="shared" si="3"/>
        <v>14485.73983933246</v>
      </c>
      <c r="T9" s="149">
        <f t="shared" si="4"/>
        <v>7725</v>
      </c>
      <c r="U9" s="87">
        <f>I9</f>
        <v>242.8998393324604</v>
      </c>
    </row>
    <row r="10" spans="1:21" s="5" customFormat="1" ht="20.25" customHeight="1">
      <c r="A10" s="4"/>
      <c r="B10" s="125" t="s">
        <v>1</v>
      </c>
      <c r="C10" s="47">
        <v>3105146</v>
      </c>
      <c r="D10" s="47">
        <f aca="true" t="shared" si="5" ref="D10:I10">SUM(D5:D9)</f>
        <v>185273.01</v>
      </c>
      <c r="E10" s="47">
        <f t="shared" si="5"/>
        <v>243687</v>
      </c>
      <c r="F10" s="47">
        <f>F5+F8</f>
        <v>4125.550000000003</v>
      </c>
      <c r="G10" s="47">
        <f t="shared" si="5"/>
        <v>173459</v>
      </c>
      <c r="H10" s="47">
        <f t="shared" si="5"/>
        <v>181276.47</v>
      </c>
      <c r="I10" s="47">
        <f t="shared" si="5"/>
        <v>5312.620000000002</v>
      </c>
      <c r="J10" s="47">
        <f aca="true" t="shared" si="6" ref="J10:U10">SUM(J5:J9)</f>
        <v>186589.09000000003</v>
      </c>
      <c r="K10" s="47">
        <f t="shared" si="6"/>
        <v>0</v>
      </c>
      <c r="L10" s="47">
        <f t="shared" si="6"/>
        <v>0</v>
      </c>
      <c r="M10" s="47">
        <f t="shared" si="6"/>
        <v>0</v>
      </c>
      <c r="N10" s="47">
        <f t="shared" si="6"/>
        <v>0</v>
      </c>
      <c r="O10" s="47">
        <f t="shared" si="6"/>
        <v>0</v>
      </c>
      <c r="P10" s="47">
        <f t="shared" si="6"/>
        <v>0</v>
      </c>
      <c r="Q10" s="47">
        <f t="shared" si="6"/>
        <v>0</v>
      </c>
      <c r="R10" s="47">
        <f t="shared" si="6"/>
        <v>430276.09</v>
      </c>
      <c r="S10" s="47">
        <f t="shared" si="6"/>
        <v>430276.09</v>
      </c>
      <c r="T10" s="47">
        <f t="shared" si="6"/>
        <v>243687</v>
      </c>
      <c r="U10" s="47">
        <f t="shared" si="6"/>
        <v>1187.069999999999</v>
      </c>
    </row>
    <row r="11" spans="1:21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t="shared" si="0"/>
        <v>0</v>
      </c>
      <c r="G11" s="32"/>
      <c r="H11" s="24">
        <v>0</v>
      </c>
      <c r="I11" s="23"/>
      <c r="J11" s="181">
        <f t="shared" si="1"/>
        <v>0</v>
      </c>
      <c r="K11" s="45"/>
      <c r="L11" s="32"/>
      <c r="M11" s="33"/>
      <c r="N11" s="45"/>
      <c r="O11" s="32"/>
      <c r="P11" s="32"/>
      <c r="Q11" s="32"/>
      <c r="R11" s="77">
        <f t="shared" si="2"/>
        <v>0</v>
      </c>
      <c r="S11" s="236">
        <f t="shared" si="3"/>
        <v>0</v>
      </c>
      <c r="T11" s="149">
        <f t="shared" si="4"/>
        <v>0</v>
      </c>
      <c r="U11" s="87"/>
    </row>
    <row r="12" spans="1:21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0"/>
        <v>12.069999999999936</v>
      </c>
      <c r="G12" s="32"/>
      <c r="H12" s="24">
        <v>1268.31</v>
      </c>
      <c r="I12" s="23"/>
      <c r="J12" s="181">
        <f t="shared" si="1"/>
        <v>1268.31</v>
      </c>
      <c r="K12" s="45"/>
      <c r="L12" s="32"/>
      <c r="M12" s="33"/>
      <c r="N12" s="45"/>
      <c r="O12" s="32"/>
      <c r="P12" s="32"/>
      <c r="Q12" s="32"/>
      <c r="R12" s="77">
        <f t="shared" si="2"/>
        <v>2528.31</v>
      </c>
      <c r="S12" s="236">
        <f t="shared" si="3"/>
        <v>2528.31</v>
      </c>
      <c r="T12" s="149">
        <f t="shared" si="4"/>
        <v>1260</v>
      </c>
      <c r="U12" s="87">
        <f>I12-F12</f>
        <v>-12.069999999999936</v>
      </c>
    </row>
    <row r="13" spans="1:21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0"/>
        <v>3.3099999999999454</v>
      </c>
      <c r="G13" s="32"/>
      <c r="H13" s="24">
        <v>721.18</v>
      </c>
      <c r="I13" s="23"/>
      <c r="J13" s="181">
        <f t="shared" si="1"/>
        <v>721.18</v>
      </c>
      <c r="K13" s="45"/>
      <c r="L13" s="32"/>
      <c r="M13" s="33"/>
      <c r="N13" s="45"/>
      <c r="O13" s="32"/>
      <c r="P13" s="32"/>
      <c r="Q13" s="32"/>
      <c r="R13" s="77">
        <f t="shared" si="2"/>
        <v>1441.1799999999998</v>
      </c>
      <c r="S13" s="236">
        <f t="shared" si="3"/>
        <v>1441.1799999999998</v>
      </c>
      <c r="T13" s="149">
        <f t="shared" si="4"/>
        <v>720</v>
      </c>
      <c r="U13" s="87">
        <f aca="true" t="shared" si="7" ref="U13:U19">I13-F13</f>
        <v>-3.3099999999999454</v>
      </c>
    </row>
    <row r="14" spans="1:21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0"/>
        <v>57.379999999999995</v>
      </c>
      <c r="G14" s="32"/>
      <c r="H14" s="24">
        <v>894.73</v>
      </c>
      <c r="I14" s="23"/>
      <c r="J14" s="181">
        <f t="shared" si="1"/>
        <v>894.73</v>
      </c>
      <c r="K14" s="45"/>
      <c r="L14" s="32"/>
      <c r="M14" s="33"/>
      <c r="N14" s="45"/>
      <c r="O14" s="32"/>
      <c r="P14" s="32"/>
      <c r="Q14" s="32"/>
      <c r="R14" s="77">
        <f t="shared" si="2"/>
        <v>1734.73</v>
      </c>
      <c r="S14" s="236">
        <f t="shared" si="3"/>
        <v>1734.73</v>
      </c>
      <c r="T14" s="149">
        <f t="shared" si="4"/>
        <v>840</v>
      </c>
      <c r="U14" s="87">
        <f t="shared" si="7"/>
        <v>-57.379999999999995</v>
      </c>
    </row>
    <row r="15" spans="1:21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0"/>
        <v>70.20000000000005</v>
      </c>
      <c r="G15" s="32"/>
      <c r="H15" s="24">
        <v>728.04</v>
      </c>
      <c r="I15" s="23"/>
      <c r="J15" s="181">
        <f t="shared" si="1"/>
        <v>728.04</v>
      </c>
      <c r="K15" s="45"/>
      <c r="L15" s="32"/>
      <c r="M15" s="33"/>
      <c r="N15" s="45"/>
      <c r="O15" s="32"/>
      <c r="P15" s="32"/>
      <c r="Q15" s="32"/>
      <c r="R15" s="77">
        <f t="shared" si="2"/>
        <v>1388.04</v>
      </c>
      <c r="S15" s="236">
        <f t="shared" si="3"/>
        <v>1388.04</v>
      </c>
      <c r="T15" s="149">
        <f t="shared" si="4"/>
        <v>660</v>
      </c>
      <c r="U15" s="87">
        <f t="shared" si="7"/>
        <v>-70.20000000000005</v>
      </c>
    </row>
    <row r="16" spans="1:21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0"/>
        <v>0.2699999999999818</v>
      </c>
      <c r="G16" s="32"/>
      <c r="H16" s="24">
        <v>2647.42</v>
      </c>
      <c r="I16" s="24"/>
      <c r="J16" s="181">
        <f t="shared" si="1"/>
        <v>2647.42</v>
      </c>
      <c r="K16" s="74"/>
      <c r="L16" s="32"/>
      <c r="M16" s="33"/>
      <c r="N16" s="45"/>
      <c r="O16" s="32"/>
      <c r="P16" s="32"/>
      <c r="Q16" s="32"/>
      <c r="R16" s="77">
        <f t="shared" si="2"/>
        <v>5302.42</v>
      </c>
      <c r="S16" s="236">
        <f t="shared" si="3"/>
        <v>5302.42</v>
      </c>
      <c r="T16" s="149">
        <f t="shared" si="4"/>
        <v>2655</v>
      </c>
      <c r="U16" s="87">
        <f t="shared" si="7"/>
        <v>-0.2699999999999818</v>
      </c>
    </row>
    <row r="17" spans="1:21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0"/>
        <v>31.070000000000164</v>
      </c>
      <c r="G17" s="32"/>
      <c r="H17" s="24">
        <v>2304.23</v>
      </c>
      <c r="I17" s="23"/>
      <c r="J17" s="181">
        <f t="shared" si="1"/>
        <v>2304.23</v>
      </c>
      <c r="K17" s="45"/>
      <c r="L17" s="32"/>
      <c r="M17" s="33"/>
      <c r="N17" s="45"/>
      <c r="O17" s="32"/>
      <c r="P17" s="32"/>
      <c r="Q17" s="32"/>
      <c r="R17" s="77">
        <f t="shared" si="2"/>
        <v>4584.23</v>
      </c>
      <c r="S17" s="236">
        <f t="shared" si="3"/>
        <v>4584.23</v>
      </c>
      <c r="T17" s="149">
        <f t="shared" si="4"/>
        <v>2280</v>
      </c>
      <c r="U17" s="87">
        <f t="shared" si="7"/>
        <v>-31.070000000000164</v>
      </c>
    </row>
    <row r="18" spans="1:21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0"/>
        <v>1005.98</v>
      </c>
      <c r="G18" s="32"/>
      <c r="H18" s="24">
        <v>1421.76</v>
      </c>
      <c r="I18" s="23"/>
      <c r="J18" s="181">
        <f t="shared" si="1"/>
        <v>1421.76</v>
      </c>
      <c r="K18" s="45"/>
      <c r="L18" s="32"/>
      <c r="M18" s="33"/>
      <c r="N18" s="45"/>
      <c r="O18" s="32"/>
      <c r="P18" s="32"/>
      <c r="Q18" s="32"/>
      <c r="R18" s="77">
        <f t="shared" si="2"/>
        <v>1841.76</v>
      </c>
      <c r="S18" s="236">
        <f t="shared" si="3"/>
        <v>1841.76</v>
      </c>
      <c r="T18" s="149">
        <f t="shared" si="4"/>
        <v>420</v>
      </c>
      <c r="U18" s="87">
        <f t="shared" si="7"/>
        <v>-1005.98</v>
      </c>
    </row>
    <row r="19" spans="1:21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0"/>
        <v>6.789999999999964</v>
      </c>
      <c r="G19" s="63"/>
      <c r="H19" s="30">
        <v>4717.78</v>
      </c>
      <c r="I19" s="54"/>
      <c r="J19" s="260">
        <f t="shared" si="1"/>
        <v>4717.78</v>
      </c>
      <c r="K19" s="46"/>
      <c r="L19" s="63"/>
      <c r="M19" s="34"/>
      <c r="N19" s="46"/>
      <c r="O19" s="63"/>
      <c r="P19" s="63"/>
      <c r="Q19" s="63"/>
      <c r="R19" s="261">
        <f t="shared" si="2"/>
        <v>9442.779999999999</v>
      </c>
      <c r="S19" s="236">
        <f t="shared" si="3"/>
        <v>9442.779999999999</v>
      </c>
      <c r="T19" s="149">
        <f t="shared" si="4"/>
        <v>4725</v>
      </c>
      <c r="U19" s="87">
        <f t="shared" si="7"/>
        <v>-6.789999999999964</v>
      </c>
    </row>
    <row r="20" spans="1:21" s="10" customFormat="1" ht="23.25" customHeight="1">
      <c r="A20" s="64"/>
      <c r="B20" s="126" t="s">
        <v>12</v>
      </c>
      <c r="C20" s="48">
        <v>185230</v>
      </c>
      <c r="D20" s="48">
        <f aca="true" t="shared" si="8" ref="D20:R20">SUM(D11:D19)</f>
        <v>14747.07</v>
      </c>
      <c r="E20" s="48">
        <f t="shared" si="8"/>
        <v>13560</v>
      </c>
      <c r="F20" s="48">
        <f t="shared" si="8"/>
        <v>1187.0700000000002</v>
      </c>
      <c r="G20" s="48">
        <f t="shared" si="8"/>
        <v>0</v>
      </c>
      <c r="H20" s="48">
        <f t="shared" si="8"/>
        <v>14703.45</v>
      </c>
      <c r="I20" s="48">
        <f t="shared" si="8"/>
        <v>0</v>
      </c>
      <c r="J20" s="48">
        <f t="shared" si="8"/>
        <v>14703.45</v>
      </c>
      <c r="K20" s="48">
        <f t="shared" si="8"/>
        <v>0</v>
      </c>
      <c r="L20" s="48">
        <f t="shared" si="8"/>
        <v>0</v>
      </c>
      <c r="M20" s="48">
        <f t="shared" si="8"/>
        <v>0</v>
      </c>
      <c r="N20" s="141">
        <f t="shared" si="8"/>
        <v>0</v>
      </c>
      <c r="O20" s="141">
        <f t="shared" si="8"/>
        <v>0</v>
      </c>
      <c r="P20" s="141">
        <f t="shared" si="8"/>
        <v>0</v>
      </c>
      <c r="Q20" s="141">
        <f t="shared" si="8"/>
        <v>0</v>
      </c>
      <c r="R20" s="48">
        <f t="shared" si="8"/>
        <v>28263.449999999997</v>
      </c>
      <c r="S20" s="48">
        <f>SUM(S11:S19)</f>
        <v>28263.449999999997</v>
      </c>
      <c r="T20" s="237">
        <f>SUM(T11:T19)</f>
        <v>13560</v>
      </c>
      <c r="U20" s="48">
        <f>SUM(U11:U19)</f>
        <v>-1187.0700000000002</v>
      </c>
    </row>
    <row r="21" spans="1:21" s="10" customFormat="1" ht="20.25" customHeight="1" thickBot="1">
      <c r="A21" s="65"/>
      <c r="B21" s="127" t="s">
        <v>43</v>
      </c>
      <c r="C21" s="49">
        <v>3290376</v>
      </c>
      <c r="D21" s="49">
        <f aca="true" t="shared" si="9" ref="D21:R21">D10+D20</f>
        <v>200020.08000000002</v>
      </c>
      <c r="E21" s="49">
        <f t="shared" si="9"/>
        <v>257247</v>
      </c>
      <c r="F21" s="151">
        <f t="shared" si="9"/>
        <v>5312.620000000003</v>
      </c>
      <c r="G21" s="49">
        <f t="shared" si="9"/>
        <v>173459</v>
      </c>
      <c r="H21" s="49">
        <f t="shared" si="9"/>
        <v>195979.92</v>
      </c>
      <c r="I21" s="151">
        <f t="shared" si="9"/>
        <v>5312.620000000002</v>
      </c>
      <c r="J21" s="49">
        <f t="shared" si="9"/>
        <v>201292.54000000004</v>
      </c>
      <c r="K21" s="49">
        <f t="shared" si="9"/>
        <v>0</v>
      </c>
      <c r="L21" s="151">
        <f t="shared" si="9"/>
        <v>0</v>
      </c>
      <c r="M21" s="49">
        <f t="shared" si="9"/>
        <v>0</v>
      </c>
      <c r="N21" s="142">
        <f t="shared" si="9"/>
        <v>0</v>
      </c>
      <c r="O21" s="205">
        <f t="shared" si="9"/>
        <v>0</v>
      </c>
      <c r="P21" s="142">
        <f t="shared" si="9"/>
        <v>0</v>
      </c>
      <c r="Q21" s="205">
        <f t="shared" si="9"/>
        <v>0</v>
      </c>
      <c r="R21" s="49">
        <f t="shared" si="9"/>
        <v>458539.54000000004</v>
      </c>
      <c r="S21" s="49">
        <f>S10+S20</f>
        <v>458539.54000000004</v>
      </c>
      <c r="T21" s="143">
        <f>T10+T20</f>
        <v>257247</v>
      </c>
      <c r="U21" s="49">
        <f>U10+U20</f>
        <v>0</v>
      </c>
    </row>
    <row r="22" spans="1:69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2"/>
      <c r="K22" s="255">
        <f>75+1163.97+61160</f>
        <v>62398.97</v>
      </c>
      <c r="L22" s="256" t="s">
        <v>40</v>
      </c>
      <c r="M22" s="257">
        <f>L21</f>
        <v>0</v>
      </c>
      <c r="N22" s="258" t="s">
        <v>44</v>
      </c>
      <c r="O22" s="259">
        <f>-(O6+O7+O9)</f>
        <v>0</v>
      </c>
      <c r="P22" s="588" t="s">
        <v>48</v>
      </c>
      <c r="Q22" s="588"/>
      <c r="R22" s="144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</row>
    <row r="23" spans="2:20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8"/>
      <c r="N23" s="253">
        <f>M22+O21</f>
        <v>0</v>
      </c>
      <c r="O23" s="192" t="s">
        <v>34</v>
      </c>
      <c r="P23" s="254" t="e">
        <f>N23*100/P21</f>
        <v>#DIV/0!</v>
      </c>
      <c r="Q23" s="115"/>
      <c r="R23" s="113"/>
      <c r="S23" s="229" t="e">
        <f>#REF!+#REF!+#REF!</f>
        <v>#REF!</v>
      </c>
      <c r="T23" s="80"/>
    </row>
    <row r="24" spans="2:20" s="100" customFormat="1" ht="33" customHeight="1">
      <c r="B24" s="117"/>
      <c r="C24" s="94"/>
      <c r="D24" s="36"/>
      <c r="E24" s="88"/>
      <c r="F24" s="36"/>
      <c r="G24" s="36"/>
      <c r="H24" s="94"/>
      <c r="I24" s="94"/>
      <c r="J24" s="41"/>
      <c r="K24" s="94"/>
      <c r="L24" s="94"/>
      <c r="M24" s="94"/>
      <c r="N24" s="94"/>
      <c r="O24" s="94"/>
      <c r="P24" s="94"/>
      <c r="Q24" s="94"/>
      <c r="R24" s="89"/>
      <c r="S24" s="88"/>
      <c r="T24" s="36"/>
    </row>
    <row r="25" spans="2:20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89"/>
      <c r="S25" s="88"/>
      <c r="T25" s="36"/>
    </row>
    <row r="26" spans="2:20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89"/>
      <c r="S26" s="88"/>
      <c r="T26" s="36"/>
    </row>
    <row r="27" spans="2:20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3"/>
      <c r="S27" s="120"/>
      <c r="T27" s="121"/>
    </row>
    <row r="28" spans="2:20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3"/>
      <c r="S28" s="103"/>
      <c r="T28" s="108"/>
    </row>
    <row r="29" spans="2:20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3"/>
      <c r="S29" s="153"/>
      <c r="T29" s="108"/>
    </row>
    <row r="30" spans="2:20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88"/>
      <c r="S30" s="103"/>
      <c r="T30" s="108"/>
    </row>
    <row r="31" spans="2:20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89"/>
      <c r="S31" s="88"/>
      <c r="T31" s="36"/>
    </row>
    <row r="32" spans="2:20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89"/>
      <c r="S32" s="88"/>
      <c r="T32" s="36"/>
    </row>
    <row r="33" spans="2:20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89"/>
      <c r="S33" s="88"/>
      <c r="T33" s="36"/>
    </row>
    <row r="34" spans="2:20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89"/>
      <c r="S34" s="88"/>
      <c r="T34" s="36"/>
    </row>
    <row r="35" spans="2:20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89"/>
      <c r="S35" s="88"/>
      <c r="T35" s="36"/>
    </row>
    <row r="36" spans="2:20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89"/>
      <c r="S36" s="88"/>
      <c r="T36" s="36"/>
    </row>
    <row r="37" spans="2:20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89"/>
      <c r="S37" s="88"/>
      <c r="T37" s="36"/>
    </row>
    <row r="38" spans="2:20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89"/>
      <c r="S38" s="88"/>
      <c r="T38" s="36"/>
    </row>
    <row r="39" spans="2:20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89"/>
      <c r="S39" s="88"/>
      <c r="T39" s="36"/>
    </row>
    <row r="40" spans="2:20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89"/>
      <c r="S40" s="88"/>
      <c r="T40" s="36"/>
    </row>
    <row r="41" spans="2:20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89"/>
      <c r="S41" s="88"/>
      <c r="T41" s="36"/>
    </row>
    <row r="42" spans="2:20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89"/>
      <c r="S42" s="88"/>
      <c r="T42" s="36"/>
    </row>
    <row r="43" spans="2:20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89"/>
      <c r="S43" s="88"/>
      <c r="T43" s="36"/>
    </row>
    <row r="44" spans="2:20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89"/>
      <c r="S44" s="88"/>
      <c r="T44" s="36"/>
    </row>
    <row r="45" spans="2:20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89"/>
      <c r="S45" s="88"/>
      <c r="T45" s="36"/>
    </row>
    <row r="46" spans="2:20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89"/>
      <c r="S46" s="88"/>
      <c r="T46" s="36"/>
    </row>
    <row r="47" spans="2:20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89"/>
      <c r="S47" s="88"/>
      <c r="T47" s="36"/>
    </row>
    <row r="48" spans="2:20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89"/>
      <c r="S48" s="88"/>
      <c r="T48" s="36"/>
    </row>
    <row r="49" spans="2:20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89"/>
      <c r="S49" s="88"/>
      <c r="T49" s="36"/>
    </row>
    <row r="50" spans="2:20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89"/>
      <c r="S50" s="88"/>
      <c r="T50" s="36"/>
    </row>
    <row r="51" spans="2:20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89"/>
      <c r="S51" s="88"/>
      <c r="T51" s="36"/>
    </row>
    <row r="52" spans="2:20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89"/>
      <c r="S52" s="88"/>
      <c r="T52" s="36"/>
    </row>
    <row r="53" spans="2:20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89"/>
      <c r="S53" s="88"/>
      <c r="T53" s="36"/>
    </row>
    <row r="54" spans="2:20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89"/>
      <c r="S54" s="88"/>
      <c r="T54" s="36"/>
    </row>
    <row r="55" spans="2:20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89"/>
      <c r="S55" s="88"/>
      <c r="T55" s="36"/>
    </row>
    <row r="56" spans="2:20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89"/>
      <c r="S56" s="88"/>
      <c r="T56" s="36"/>
    </row>
    <row r="57" spans="2:20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89"/>
      <c r="S57" s="88"/>
      <c r="T57" s="36"/>
    </row>
    <row r="58" spans="2:20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89"/>
      <c r="S58" s="88"/>
      <c r="T58" s="36"/>
    </row>
    <row r="59" spans="2:20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89"/>
      <c r="S59" s="88"/>
      <c r="T59" s="36"/>
    </row>
    <row r="60" spans="2:20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89"/>
      <c r="S60" s="88"/>
      <c r="T60" s="36"/>
    </row>
    <row r="61" spans="2:20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89"/>
      <c r="S61" s="88"/>
      <c r="T61" s="36"/>
    </row>
    <row r="62" spans="2:20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89"/>
      <c r="S62" s="88"/>
      <c r="T62" s="36"/>
    </row>
    <row r="63" spans="2:20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89"/>
      <c r="S63" s="88"/>
      <c r="T63" s="36"/>
    </row>
    <row r="64" spans="2:20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89"/>
      <c r="S64" s="88"/>
      <c r="T64" s="36"/>
    </row>
    <row r="65" spans="2:20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89"/>
      <c r="S65" s="88"/>
      <c r="T65" s="36"/>
    </row>
    <row r="66" spans="2:20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89"/>
      <c r="S66" s="88"/>
      <c r="T66" s="36"/>
    </row>
    <row r="67" spans="2:20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89"/>
      <c r="S67" s="88"/>
      <c r="T67" s="36"/>
    </row>
    <row r="68" spans="2:20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89"/>
      <c r="S68" s="88"/>
      <c r="T68" s="36"/>
    </row>
    <row r="69" spans="2:20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89"/>
      <c r="S69" s="88"/>
      <c r="T69" s="36"/>
    </row>
  </sheetData>
  <sheetProtection/>
  <mergeCells count="2">
    <mergeCell ref="P22:Q22"/>
    <mergeCell ref="L23:M23"/>
  </mergeCells>
  <printOptions/>
  <pageMargins left="0.16" right="0.16" top="0.27" bottom="0.21" header="0.17" footer="0.17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P28"/>
  <sheetViews>
    <sheetView workbookViewId="0" topLeftCell="A13">
      <selection activeCell="T1" sqref="T1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2.125" style="26" bestFit="1" customWidth="1"/>
    <col min="4" max="4" width="9.125" style="2" bestFit="1" customWidth="1"/>
    <col min="5" max="5" width="9.25390625" style="26" customWidth="1"/>
    <col min="6" max="6" width="9.875" style="2" bestFit="1" customWidth="1"/>
    <col min="7" max="7" width="10.00390625" style="2" bestFit="1" customWidth="1"/>
    <col min="8" max="8" width="9.125" style="2" bestFit="1" customWidth="1"/>
    <col min="9" max="9" width="10.875" style="2" customWidth="1"/>
    <col min="10" max="10" width="9.625" style="2" customWidth="1"/>
    <col min="11" max="11" width="9.00390625" style="2" hidden="1" customWidth="1"/>
    <col min="12" max="12" width="8.25390625" style="71" hidden="1" customWidth="1"/>
    <col min="13" max="13" width="9.375" style="2" hidden="1" customWidth="1"/>
    <col min="14" max="14" width="10.375" style="2" hidden="1" customWidth="1"/>
    <col min="15" max="15" width="9.375" style="2" hidden="1" customWidth="1"/>
    <col min="16" max="16" width="10.00390625" style="2" hidden="1" customWidth="1"/>
    <col min="17" max="17" width="9.75390625" style="2" hidden="1" customWidth="1"/>
    <col min="18" max="18" width="10.375" style="1" bestFit="1" customWidth="1"/>
    <col min="19" max="19" width="11.375" style="105" customWidth="1"/>
    <col min="20" max="20" width="9.875" style="1" bestFit="1" customWidth="1"/>
    <col min="21" max="21" width="8.875" style="1" customWidth="1"/>
    <col min="22" max="16384" width="9.00390625" style="1" customWidth="1"/>
  </cols>
  <sheetData>
    <row r="1" spans="1:20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Q1" s="2"/>
      <c r="S1" s="105"/>
      <c r="T1" s="139" t="s">
        <v>35</v>
      </c>
    </row>
    <row r="2" ht="10.5" customHeight="1">
      <c r="A2" s="8"/>
    </row>
    <row r="3" spans="1:19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Q3" s="2"/>
      <c r="S3" s="156"/>
    </row>
    <row r="4" spans="1:21" s="9" customFormat="1" ht="66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9" t="s">
        <v>38</v>
      </c>
      <c r="N4" s="37" t="s">
        <v>32</v>
      </c>
      <c r="O4" s="72" t="s">
        <v>49</v>
      </c>
      <c r="P4" s="129" t="s">
        <v>45</v>
      </c>
      <c r="Q4" s="129" t="s">
        <v>46</v>
      </c>
      <c r="R4" s="185" t="s">
        <v>58</v>
      </c>
      <c r="S4" s="225" t="s">
        <v>59</v>
      </c>
      <c r="T4" s="219" t="s">
        <v>55</v>
      </c>
      <c r="U4" s="96" t="s">
        <v>71</v>
      </c>
    </row>
    <row r="5" spans="1:21" s="5" customFormat="1" ht="30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</f>
        <v>43765.775223350756</v>
      </c>
      <c r="K5" s="38"/>
      <c r="L5" s="23">
        <f>J5-K5</f>
        <v>43765.775223350756</v>
      </c>
      <c r="M5" s="24"/>
      <c r="N5" s="38"/>
      <c r="O5" s="23">
        <f>M5-N5</f>
        <v>0</v>
      </c>
      <c r="P5" s="23"/>
      <c r="Q5" s="23"/>
      <c r="R5" s="186">
        <f>E5+J5</f>
        <v>98380.57522335075</v>
      </c>
      <c r="S5" s="133">
        <f>R5</f>
        <v>98380.57522335075</v>
      </c>
      <c r="T5" s="90">
        <f>E5</f>
        <v>54614.8</v>
      </c>
      <c r="U5" s="264">
        <f>I5</f>
        <v>1292.1652233507587</v>
      </c>
    </row>
    <row r="6" spans="1:21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aca="true" t="shared" si="0" ref="F6:F13">D6-E6</f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/>
      <c r="L6" s="23">
        <f>J6-K6</f>
        <v>37048.18</v>
      </c>
      <c r="M6" s="24"/>
      <c r="N6" s="38"/>
      <c r="O6" s="23">
        <f>M6-N6</f>
        <v>0</v>
      </c>
      <c r="P6" s="23"/>
      <c r="Q6" s="23"/>
      <c r="R6" s="186">
        <f>E6+J6</f>
        <v>69412.47</v>
      </c>
      <c r="S6" s="133">
        <f>R6</f>
        <v>69412.47</v>
      </c>
      <c r="T6" s="90">
        <f>E6</f>
        <v>32364.29</v>
      </c>
      <c r="U6" s="265">
        <f>I6-F6</f>
        <v>-5134.949999999997</v>
      </c>
    </row>
    <row r="7" spans="1:21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 aca="true" t="shared" si="1" ref="J7:J13">H7+I7</f>
        <v>24446.92258325889</v>
      </c>
      <c r="K7" s="38"/>
      <c r="L7" s="23">
        <f>J7-K7</f>
        <v>24446.92258325889</v>
      </c>
      <c r="M7" s="24"/>
      <c r="N7" s="38"/>
      <c r="O7" s="23">
        <f>M7-N7</f>
        <v>0</v>
      </c>
      <c r="P7" s="23"/>
      <c r="Q7" s="23"/>
      <c r="R7" s="186">
        <f aca="true" t="shared" si="2" ref="R7:R13">E7+J7</f>
        <v>54713.30258325889</v>
      </c>
      <c r="S7" s="133">
        <f aca="true" t="shared" si="3" ref="S7:S13">R7</f>
        <v>54713.30258325889</v>
      </c>
      <c r="T7" s="90">
        <f aca="true" t="shared" si="4" ref="T7:T13">E7</f>
        <v>30266.38</v>
      </c>
      <c r="U7" s="265">
        <f>I7</f>
        <v>751.0525832588896</v>
      </c>
    </row>
    <row r="8" spans="1:21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 t="shared" si="1"/>
        <v>29100.168872542992</v>
      </c>
      <c r="K8" s="38"/>
      <c r="L8" s="23">
        <f>J8-K8</f>
        <v>29100.168872542992</v>
      </c>
      <c r="M8" s="24"/>
      <c r="N8" s="38"/>
      <c r="O8" s="202">
        <f>M8-N8</f>
        <v>0</v>
      </c>
      <c r="P8" s="23"/>
      <c r="Q8" s="23"/>
      <c r="R8" s="186">
        <f t="shared" si="2"/>
        <v>92606.90887254299</v>
      </c>
      <c r="S8" s="133">
        <f t="shared" si="3"/>
        <v>92606.90887254299</v>
      </c>
      <c r="T8" s="90">
        <f t="shared" si="4"/>
        <v>63506.74</v>
      </c>
      <c r="U8" s="265">
        <f>I8</f>
        <v>1337.7888725429914</v>
      </c>
    </row>
    <row r="9" spans="1:21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 t="shared" si="1"/>
        <v>62105.48613996565</v>
      </c>
      <c r="K9" s="38"/>
      <c r="L9" s="23">
        <f>J9-K9</f>
        <v>62105.48613996565</v>
      </c>
      <c r="M9" s="30"/>
      <c r="N9" s="79"/>
      <c r="O9" s="202">
        <f>M9-N9</f>
        <v>0</v>
      </c>
      <c r="P9" s="23"/>
      <c r="Q9" s="23"/>
      <c r="R9" s="186">
        <f t="shared" si="2"/>
        <v>132738.60613996565</v>
      </c>
      <c r="S9" s="133">
        <f t="shared" si="3"/>
        <v>132738.60613996565</v>
      </c>
      <c r="T9" s="90">
        <f t="shared" si="4"/>
        <v>70633.12</v>
      </c>
      <c r="U9" s="265">
        <f>I9</f>
        <v>1833.6861399656543</v>
      </c>
    </row>
    <row r="10" spans="1:21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 t="shared" si="1"/>
        <v>25739.977180881706</v>
      </c>
      <c r="K10" s="39"/>
      <c r="L10" s="24"/>
      <c r="M10" s="24"/>
      <c r="N10" s="39"/>
      <c r="O10" s="208"/>
      <c r="P10" s="24"/>
      <c r="Q10" s="24"/>
      <c r="R10" s="186">
        <f t="shared" si="2"/>
        <v>52670.3671808817</v>
      </c>
      <c r="S10" s="133">
        <f t="shared" si="3"/>
        <v>52670.3671808817</v>
      </c>
      <c r="T10" s="90">
        <f t="shared" si="4"/>
        <v>26930.39</v>
      </c>
      <c r="U10" s="265">
        <f>I10</f>
        <v>263.19718088170583</v>
      </c>
    </row>
    <row r="11" spans="1:21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 t="shared" si="1"/>
        <v>55820.45</v>
      </c>
      <c r="K11" s="53"/>
      <c r="L11" s="23">
        <f>J11-K11</f>
        <v>55820.45</v>
      </c>
      <c r="M11" s="54"/>
      <c r="N11" s="53"/>
      <c r="O11" s="202">
        <f>M11-N11</f>
        <v>0</v>
      </c>
      <c r="P11" s="23"/>
      <c r="Q11" s="23"/>
      <c r="R11" s="186">
        <f t="shared" si="2"/>
        <v>111266.12</v>
      </c>
      <c r="S11" s="133">
        <f t="shared" si="3"/>
        <v>111266.12</v>
      </c>
      <c r="T11" s="90">
        <f t="shared" si="4"/>
        <v>55445.67</v>
      </c>
      <c r="U11" s="265">
        <f>I11-F11</f>
        <v>-342.9400000000023</v>
      </c>
    </row>
    <row r="12" spans="1:21" s="11" customFormat="1" ht="23.25" customHeight="1" thickBot="1">
      <c r="A12" s="107"/>
      <c r="B12" s="14" t="s">
        <v>2</v>
      </c>
      <c r="C12" s="44">
        <v>3480574.47</v>
      </c>
      <c r="D12" s="44">
        <f aca="true" t="shared" si="5" ref="D12:J12">SUM(D5:D11)</f>
        <v>301450.93</v>
      </c>
      <c r="E12" s="44">
        <f t="shared" si="5"/>
        <v>333761.38999999996</v>
      </c>
      <c r="F12" s="44">
        <f>F6+F9+F11</f>
        <v>5477.889999999999</v>
      </c>
      <c r="G12" s="44">
        <f t="shared" si="5"/>
        <v>205261.1030769231</v>
      </c>
      <c r="H12" s="44">
        <f t="shared" si="5"/>
        <v>272549.07</v>
      </c>
      <c r="I12" s="44">
        <f t="shared" si="5"/>
        <v>5477.89</v>
      </c>
      <c r="J12" s="44">
        <f t="shared" si="5"/>
        <v>278026.96</v>
      </c>
      <c r="K12" s="44">
        <f aca="true" t="shared" si="6" ref="K12:U12">SUM(K5:K11)</f>
        <v>0</v>
      </c>
      <c r="L12" s="44">
        <f t="shared" si="6"/>
        <v>252286.9828191183</v>
      </c>
      <c r="M12" s="44">
        <f t="shared" si="6"/>
        <v>0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611788.35</v>
      </c>
      <c r="S12" s="44">
        <f t="shared" si="6"/>
        <v>611788.35</v>
      </c>
      <c r="T12" s="44">
        <f t="shared" si="6"/>
        <v>333761.38999999996</v>
      </c>
      <c r="U12" s="228">
        <f t="shared" si="6"/>
        <v>0</v>
      </c>
    </row>
    <row r="13" spans="1:21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 t="shared" si="0"/>
        <v>-2370</v>
      </c>
      <c r="G13" s="54"/>
      <c r="H13" s="52">
        <v>10000</v>
      </c>
      <c r="I13" s="52">
        <v>0</v>
      </c>
      <c r="J13" s="150">
        <f t="shared" si="1"/>
        <v>10000</v>
      </c>
      <c r="K13" s="53"/>
      <c r="L13" s="23"/>
      <c r="M13" s="52"/>
      <c r="N13" s="53"/>
      <c r="O13" s="23"/>
      <c r="P13" s="23">
        <v>0</v>
      </c>
      <c r="Q13" s="23">
        <v>0</v>
      </c>
      <c r="R13" s="186">
        <f t="shared" si="2"/>
        <v>22370</v>
      </c>
      <c r="S13" s="133">
        <f t="shared" si="3"/>
        <v>22370</v>
      </c>
      <c r="T13" s="90">
        <f t="shared" si="4"/>
        <v>12370</v>
      </c>
      <c r="U13" s="265">
        <f>I13</f>
        <v>0</v>
      </c>
    </row>
    <row r="14" spans="1:21" s="7" customFormat="1" ht="21" customHeight="1" thickBot="1">
      <c r="A14" s="128"/>
      <c r="B14" s="55" t="s">
        <v>3</v>
      </c>
      <c r="C14" s="50">
        <v>163080</v>
      </c>
      <c r="D14" s="50">
        <f aca="true" t="shared" si="7" ref="D14:R14">SUM(D13:D13)</f>
        <v>10000</v>
      </c>
      <c r="E14" s="50">
        <f t="shared" si="7"/>
        <v>12370</v>
      </c>
      <c r="F14" s="50">
        <v>0</v>
      </c>
      <c r="G14" s="50">
        <f t="shared" si="7"/>
        <v>0</v>
      </c>
      <c r="H14" s="50">
        <f t="shared" si="7"/>
        <v>10000</v>
      </c>
      <c r="I14" s="50">
        <f t="shared" si="7"/>
        <v>0</v>
      </c>
      <c r="J14" s="50">
        <f t="shared" si="7"/>
        <v>10000</v>
      </c>
      <c r="K14" s="50">
        <f t="shared" si="7"/>
        <v>0</v>
      </c>
      <c r="L14" s="50">
        <f t="shared" si="7"/>
        <v>0</v>
      </c>
      <c r="M14" s="50">
        <f t="shared" si="7"/>
        <v>0</v>
      </c>
      <c r="N14" s="50">
        <f t="shared" si="7"/>
        <v>0</v>
      </c>
      <c r="O14" s="50">
        <f t="shared" si="7"/>
        <v>0</v>
      </c>
      <c r="P14" s="50">
        <f t="shared" si="7"/>
        <v>0</v>
      </c>
      <c r="Q14" s="50">
        <f t="shared" si="7"/>
        <v>0</v>
      </c>
      <c r="R14" s="187">
        <f t="shared" si="7"/>
        <v>22370</v>
      </c>
      <c r="S14" s="50">
        <f>SUM(S13:S13)</f>
        <v>22370</v>
      </c>
      <c r="T14" s="50">
        <f>SUM(T13:T13)</f>
        <v>12370</v>
      </c>
      <c r="U14" s="50">
        <f>SUM(U13:U13)</f>
        <v>0</v>
      </c>
    </row>
    <row r="15" spans="1:21" s="168" customFormat="1" ht="28.5" customHeight="1" thickBot="1">
      <c r="A15" s="166"/>
      <c r="B15" s="167" t="s">
        <v>4</v>
      </c>
      <c r="C15" s="106">
        <v>3643654.47</v>
      </c>
      <c r="D15" s="43">
        <f aca="true" t="shared" si="8" ref="D15:R15">D12+D14</f>
        <v>311450.93</v>
      </c>
      <c r="E15" s="43">
        <f t="shared" si="8"/>
        <v>346131.38999999996</v>
      </c>
      <c r="F15" s="35">
        <f t="shared" si="8"/>
        <v>5477.889999999999</v>
      </c>
      <c r="G15" s="43">
        <f t="shared" si="8"/>
        <v>205261.1030769231</v>
      </c>
      <c r="H15" s="43">
        <f t="shared" si="8"/>
        <v>282549.07</v>
      </c>
      <c r="I15" s="35">
        <f t="shared" si="8"/>
        <v>5477.89</v>
      </c>
      <c r="J15" s="43">
        <f t="shared" si="8"/>
        <v>288026.96</v>
      </c>
      <c r="K15" s="43">
        <f t="shared" si="8"/>
        <v>0</v>
      </c>
      <c r="L15" s="140">
        <f t="shared" si="8"/>
        <v>252286.9828191183</v>
      </c>
      <c r="M15" s="43">
        <f t="shared" si="8"/>
        <v>0</v>
      </c>
      <c r="N15" s="43">
        <f t="shared" si="8"/>
        <v>0</v>
      </c>
      <c r="O15" s="140">
        <f t="shared" si="8"/>
        <v>0</v>
      </c>
      <c r="P15" s="43">
        <f t="shared" si="8"/>
        <v>0</v>
      </c>
      <c r="Q15" s="203">
        <f t="shared" si="8"/>
        <v>0</v>
      </c>
      <c r="R15" s="106">
        <f t="shared" si="8"/>
        <v>634158.35</v>
      </c>
      <c r="S15" s="43">
        <f>S12+S14</f>
        <v>634158.35</v>
      </c>
      <c r="T15" s="43">
        <f>T12+T14</f>
        <v>346131.38999999996</v>
      </c>
      <c r="U15" s="228">
        <f>U12+U14</f>
        <v>0</v>
      </c>
    </row>
    <row r="16" spans="1:20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192" t="s">
        <v>34</v>
      </c>
      <c r="G16" s="193">
        <f>F15*100/G15</f>
        <v>2.6687423568736843</v>
      </c>
      <c r="H16" s="31"/>
      <c r="I16" s="31"/>
      <c r="J16" s="593"/>
      <c r="K16" s="594"/>
      <c r="L16" s="194"/>
      <c r="M16" s="203"/>
      <c r="N16" s="192"/>
      <c r="O16" s="195"/>
      <c r="P16" s="145"/>
      <c r="Q16" s="145"/>
      <c r="R16" s="170"/>
      <c r="S16" s="231"/>
      <c r="T16" s="230"/>
    </row>
    <row r="17" spans="1:68" s="42" customFormat="1" ht="34.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6"/>
      <c r="K17" s="557"/>
      <c r="L17" s="178"/>
      <c r="M17" s="31"/>
      <c r="N17" s="201"/>
      <c r="O17" s="207"/>
      <c r="P17" s="595"/>
      <c r="Q17" s="596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</row>
    <row r="18" spans="2:21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38</v>
      </c>
      <c r="N18" s="37" t="s">
        <v>32</v>
      </c>
      <c r="O18" s="72" t="s">
        <v>49</v>
      </c>
      <c r="P18" s="129" t="s">
        <v>45</v>
      </c>
      <c r="Q18" s="129" t="s">
        <v>46</v>
      </c>
      <c r="R18" s="185" t="s">
        <v>58</v>
      </c>
      <c r="S18" s="225" t="s">
        <v>59</v>
      </c>
      <c r="T18" s="219" t="s">
        <v>55</v>
      </c>
      <c r="U18" s="96" t="s">
        <v>71</v>
      </c>
    </row>
    <row r="19" spans="2:21" s="28" customFormat="1" ht="43.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138">
        <f>J15+'IAN2022-R'!J21</f>
        <v>489319.50000000006</v>
      </c>
      <c r="K19" s="60" t="e">
        <f>K15+#REF!</f>
        <v>#REF!</v>
      </c>
      <c r="L19" s="75" t="e">
        <f>L15+#REF!</f>
        <v>#REF!</v>
      </c>
      <c r="M19" s="61" t="e">
        <f>M15+#REF!</f>
        <v>#REF!</v>
      </c>
      <c r="N19" s="81" t="e">
        <f>N15+#REF!</f>
        <v>#REF!</v>
      </c>
      <c r="O19" s="82" t="e">
        <f>M16+#REF!</f>
        <v>#REF!</v>
      </c>
      <c r="P19" s="85"/>
      <c r="Q19" s="146" t="e">
        <f>Q15+#REF!</f>
        <v>#REF!</v>
      </c>
      <c r="R19" s="84">
        <f>R15+'IAN2022-R'!R21</f>
        <v>1092697.8900000001</v>
      </c>
      <c r="S19" s="134">
        <f>S15+'IAN2022-R'!S21</f>
        <v>1092697.8900000001</v>
      </c>
      <c r="T19" s="238">
        <f>T15+'IAN2022-R'!T21</f>
        <v>603378.3899999999</v>
      </c>
      <c r="U19" s="147">
        <f>U15+'IAN2022-R'!U21</f>
        <v>0</v>
      </c>
    </row>
    <row r="20" spans="3:20" ht="33" customHeight="1" thickBot="1">
      <c r="C20" s="246" t="s">
        <v>65</v>
      </c>
      <c r="D20" s="178">
        <v>82730.46999999974</v>
      </c>
      <c r="E20" s="248" t="s">
        <v>66</v>
      </c>
      <c r="F20" s="249">
        <f>E16+'IAN2022-R'!E22</f>
        <v>102697.89</v>
      </c>
      <c r="G20" s="583" t="s">
        <v>69</v>
      </c>
      <c r="H20" s="584"/>
      <c r="I20" s="592"/>
      <c r="J20" s="556"/>
      <c r="K20" s="557"/>
      <c r="L20" s="184"/>
      <c r="M20" s="585"/>
      <c r="N20" s="586"/>
      <c r="O20" s="206"/>
      <c r="P20" s="597"/>
      <c r="Q20" s="598"/>
      <c r="R20" s="200"/>
      <c r="S20" s="240"/>
      <c r="T20" s="239"/>
    </row>
    <row r="21" spans="2:20" ht="36" customHeight="1" thickBot="1">
      <c r="B21" s="241" t="s">
        <v>61</v>
      </c>
      <c r="C21" s="242">
        <v>990000</v>
      </c>
      <c r="D21" s="163"/>
      <c r="E21" s="198"/>
      <c r="F21" s="163"/>
      <c r="G21" s="163"/>
      <c r="H21" s="163"/>
      <c r="I21" s="163"/>
      <c r="J21" s="182"/>
      <c r="K21" s="191"/>
      <c r="L21" s="183"/>
      <c r="M21" s="183"/>
      <c r="N21" s="183"/>
      <c r="O21" s="183"/>
      <c r="P21" s="183"/>
      <c r="Q21" s="183"/>
      <c r="R21" s="184"/>
      <c r="S21" s="263" t="s">
        <v>70</v>
      </c>
      <c r="T21" s="234">
        <f>S19-990000</f>
        <v>102697.89000000013</v>
      </c>
    </row>
    <row r="22" spans="2:20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189" t="s">
        <v>41</v>
      </c>
      <c r="K22" s="190" t="e">
        <f>L16+#REF!</f>
        <v>#REF!</v>
      </c>
      <c r="L22" s="164"/>
      <c r="M22" s="164"/>
      <c r="N22" s="164"/>
      <c r="O22" s="164"/>
      <c r="P22" s="164"/>
      <c r="Q22" s="164"/>
      <c r="R22" s="159"/>
      <c r="S22" s="233" t="e">
        <f>#REF!</f>
        <v>#REF!</v>
      </c>
      <c r="T22" s="41" t="e">
        <f>T21-#REF!</f>
        <v>#REF!</v>
      </c>
    </row>
    <row r="23" spans="2:20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58"/>
      <c r="R23" s="161" t="e">
        <f>C21+R21-K22</f>
        <v>#REF!</v>
      </c>
      <c r="S23" s="232">
        <v>667000</v>
      </c>
      <c r="T23" s="211"/>
    </row>
    <row r="24" spans="2:20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5"/>
      <c r="S24" s="116" t="e">
        <f>S22-S23</f>
        <v>#REF!</v>
      </c>
      <c r="T24" s="36"/>
    </row>
    <row r="25" spans="2:20" ht="19.5" customHeight="1" hidden="1" thickBot="1">
      <c r="B25" s="188"/>
      <c r="C25" s="214">
        <v>72293.07</v>
      </c>
      <c r="D25" s="215"/>
      <c r="E25" s="215">
        <v>3323950</v>
      </c>
      <c r="R25" s="2"/>
      <c r="S25" s="116"/>
      <c r="T25" s="36"/>
    </row>
    <row r="26" spans="2:20" ht="25.5" customHeight="1" hidden="1" thickBot="1">
      <c r="B26" s="217"/>
      <c r="C26" s="218">
        <v>3982180</v>
      </c>
      <c r="R26" s="152">
        <v>3982180</v>
      </c>
      <c r="S26" s="210"/>
      <c r="T26" s="212"/>
    </row>
    <row r="27" spans="2:20" ht="15" customHeight="1" thickBot="1">
      <c r="B27" s="188"/>
      <c r="C27" s="220"/>
      <c r="D27" s="221"/>
      <c r="E27" s="222"/>
      <c r="S27" s="210"/>
      <c r="T27" s="100"/>
    </row>
    <row r="28" spans="2:19" ht="25.5" customHeight="1" thickBot="1">
      <c r="B28" s="223" t="s">
        <v>60</v>
      </c>
      <c r="C28" s="244" t="s">
        <v>62</v>
      </c>
      <c r="D28" s="247" t="s">
        <v>63</v>
      </c>
      <c r="E28" s="160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43"/>
      <c r="S28" s="227">
        <v>44607</v>
      </c>
    </row>
  </sheetData>
  <sheetProtection/>
  <mergeCells count="7">
    <mergeCell ref="P17:Q17"/>
    <mergeCell ref="M20:N20"/>
    <mergeCell ref="P20:Q20"/>
    <mergeCell ref="G20:I20"/>
    <mergeCell ref="J16:K16"/>
    <mergeCell ref="J17:K17"/>
    <mergeCell ref="J20:K20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70"/>
  <sheetViews>
    <sheetView workbookViewId="0" topLeftCell="A4">
      <pane xSplit="4860" ySplit="1530" topLeftCell="AR10" activePane="bottomRight" state="split"/>
      <selection pane="topLeft" activeCell="B17" sqref="B17"/>
      <selection pane="topRight" activeCell="AT4" sqref="AT1:AT16384"/>
      <selection pane="bottomLeft" activeCell="A5" sqref="A5"/>
      <selection pane="bottomRight" activeCell="BE8" sqref="BE8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50390625" style="69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10.125" style="8" bestFit="1" customWidth="1"/>
    <col min="20" max="25" width="8.625" style="313" hidden="1" customWidth="1"/>
    <col min="26" max="26" width="7.50390625" style="313" hidden="1" customWidth="1"/>
    <col min="27" max="28" width="8.375" style="313" hidden="1" customWidth="1"/>
    <col min="29" max="29" width="8.875" style="313" hidden="1" customWidth="1"/>
    <col min="30" max="30" width="7.50390625" style="313" hidden="1" customWidth="1"/>
    <col min="31" max="31" width="8.375" style="313" hidden="1" customWidth="1"/>
    <col min="32" max="32" width="8.75390625" style="313" hidden="1" customWidth="1"/>
    <col min="33" max="33" width="10.125" style="313" bestFit="1" customWidth="1"/>
    <col min="34" max="34" width="7.75390625" style="313" hidden="1" customWidth="1"/>
    <col min="35" max="36" width="8.875" style="313" hidden="1" customWidth="1"/>
    <col min="37" max="37" width="7.75390625" style="313" hidden="1" customWidth="1"/>
    <col min="38" max="38" width="10.875" style="313" hidden="1" customWidth="1"/>
    <col min="39" max="39" width="8.375" style="313" hidden="1" customWidth="1"/>
    <col min="40" max="40" width="8.75390625" style="313" hidden="1" customWidth="1"/>
    <col min="41" max="42" width="8.75390625" style="313" customWidth="1"/>
    <col min="43" max="43" width="10.125" style="313" bestFit="1" customWidth="1"/>
    <col min="44" max="44" width="7.625" style="313" customWidth="1"/>
    <col min="45" max="45" width="7.125" style="313" customWidth="1"/>
    <col min="46" max="46" width="8.75390625" style="313" hidden="1" customWidth="1"/>
    <col min="47" max="47" width="9.125" style="313" hidden="1" customWidth="1"/>
    <col min="48" max="48" width="7.75390625" style="313" hidden="1" customWidth="1"/>
    <col min="49" max="49" width="9.125" style="313" bestFit="1" customWidth="1"/>
    <col min="50" max="50" width="8.125" style="313" bestFit="1" customWidth="1"/>
    <col min="51" max="51" width="7.125" style="310" customWidth="1"/>
    <col min="52" max="52" width="8.875" style="313" customWidth="1"/>
    <col min="53" max="53" width="8.125" style="313" bestFit="1" customWidth="1"/>
    <col min="54" max="54" width="8.125" style="313" customWidth="1"/>
    <col min="55" max="55" width="7.75390625" style="313" hidden="1" customWidth="1"/>
    <col min="56" max="56" width="8.25390625" style="313" hidden="1" customWidth="1"/>
    <col min="57" max="57" width="9.125" style="313" bestFit="1" customWidth="1"/>
    <col min="58" max="58" width="9.125" style="313" customWidth="1"/>
    <col min="59" max="59" width="6.875" style="313" hidden="1" customWidth="1"/>
    <col min="60" max="60" width="8.25390625" style="313" hidden="1" customWidth="1"/>
    <col min="61" max="61" width="9.50390625" style="313" customWidth="1"/>
    <col min="62" max="62" width="9.875" style="313" customWidth="1"/>
    <col min="63" max="63" width="11.625" style="26" customWidth="1"/>
    <col min="64" max="64" width="11.00390625" style="2" customWidth="1"/>
    <col min="65" max="65" width="9.25390625" style="1" hidden="1" customWidth="1"/>
    <col min="66" max="66" width="11.25390625" style="1" customWidth="1"/>
    <col min="67" max="16384" width="9.00390625" style="1" customWidth="1"/>
  </cols>
  <sheetData>
    <row r="1" spans="1:64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517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25"/>
      <c r="BL1" s="13"/>
    </row>
    <row r="2" ht="43.5" customHeight="1">
      <c r="A2" s="8"/>
    </row>
    <row r="3" spans="1:64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517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25"/>
      <c r="BL3" s="13"/>
    </row>
    <row r="4" spans="1:65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409" t="s">
        <v>132</v>
      </c>
      <c r="AF4" s="408" t="s">
        <v>133</v>
      </c>
      <c r="AG4" s="185" t="s">
        <v>140</v>
      </c>
      <c r="AH4" s="311" t="s">
        <v>111</v>
      </c>
      <c r="AI4" s="37" t="s">
        <v>136</v>
      </c>
      <c r="AJ4" s="72" t="s">
        <v>143</v>
      </c>
      <c r="AK4" s="311" t="s">
        <v>112</v>
      </c>
      <c r="AL4" s="37" t="s">
        <v>144</v>
      </c>
      <c r="AM4" s="440" t="s">
        <v>145</v>
      </c>
      <c r="AN4" s="311" t="s">
        <v>113</v>
      </c>
      <c r="AO4" s="409" t="s">
        <v>163</v>
      </c>
      <c r="AP4" s="481" t="s">
        <v>164</v>
      </c>
      <c r="AQ4" s="185" t="s">
        <v>166</v>
      </c>
      <c r="AR4" s="499" t="s">
        <v>173</v>
      </c>
      <c r="AS4" s="501" t="s">
        <v>170</v>
      </c>
      <c r="AT4" s="300" t="s">
        <v>153</v>
      </c>
      <c r="AU4" s="468" t="s">
        <v>102</v>
      </c>
      <c r="AV4" s="453" t="s">
        <v>154</v>
      </c>
      <c r="AW4" s="457" t="s">
        <v>155</v>
      </c>
      <c r="AX4" s="515" t="s">
        <v>174</v>
      </c>
      <c r="AY4" s="524" t="s">
        <v>176</v>
      </c>
      <c r="AZ4" s="72" t="s">
        <v>177</v>
      </c>
      <c r="BA4" s="533" t="s">
        <v>179</v>
      </c>
      <c r="BB4" s="540" t="s">
        <v>180</v>
      </c>
      <c r="BC4" s="516" t="s">
        <v>103</v>
      </c>
      <c r="BD4" s="453" t="s">
        <v>154</v>
      </c>
      <c r="BE4" s="534" t="s">
        <v>156</v>
      </c>
      <c r="BF4" s="130" t="s">
        <v>181</v>
      </c>
      <c r="BG4" s="468" t="s">
        <v>116</v>
      </c>
      <c r="BH4" s="453" t="s">
        <v>154</v>
      </c>
      <c r="BI4" s="457" t="s">
        <v>157</v>
      </c>
      <c r="BJ4" s="545" t="s">
        <v>158</v>
      </c>
      <c r="BK4" s="225" t="s">
        <v>159</v>
      </c>
      <c r="BL4" s="219" t="s">
        <v>55</v>
      </c>
      <c r="BM4" s="96" t="s">
        <v>130</v>
      </c>
    </row>
    <row r="5" spans="1:65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407">
        <v>98996</v>
      </c>
      <c r="AF5" s="363">
        <f>AD5-AE5</f>
        <v>4</v>
      </c>
      <c r="AG5" s="78">
        <f>U5+AB5+AE5</f>
        <v>288554</v>
      </c>
      <c r="AH5" s="362">
        <v>99000</v>
      </c>
      <c r="AI5" s="407">
        <v>98993</v>
      </c>
      <c r="AJ5" s="362">
        <f>AH5-AI5</f>
        <v>7</v>
      </c>
      <c r="AK5" s="362">
        <v>99000</v>
      </c>
      <c r="AL5" s="427">
        <v>99000</v>
      </c>
      <c r="AM5" s="424">
        <f>AK5-AL5</f>
        <v>0</v>
      </c>
      <c r="AN5" s="480">
        <v>99000</v>
      </c>
      <c r="AO5" s="407">
        <v>98985</v>
      </c>
      <c r="AP5" s="86">
        <f aca="true" t="shared" si="0" ref="AP5:AP11">AN5-AO5</f>
        <v>15</v>
      </c>
      <c r="AQ5" s="78">
        <f aca="true" t="shared" si="1" ref="AQ5:AQ11">AI5+AL5+AO5</f>
        <v>296978</v>
      </c>
      <c r="AR5" s="500"/>
      <c r="AS5" s="321"/>
      <c r="AT5" s="340">
        <v>113580.51</v>
      </c>
      <c r="AU5" s="363">
        <v>99000</v>
      </c>
      <c r="AV5" s="470">
        <v>0</v>
      </c>
      <c r="AW5" s="462">
        <f>AU5+AV5</f>
        <v>99000</v>
      </c>
      <c r="AX5" s="514">
        <f>AS5+AW5-50499</f>
        <v>48501</v>
      </c>
      <c r="AY5" s="525">
        <v>48501</v>
      </c>
      <c r="AZ5" s="23">
        <f>AX5-AY5</f>
        <v>0</v>
      </c>
      <c r="BA5" s="480"/>
      <c r="BB5" s="541">
        <v>0</v>
      </c>
      <c r="BC5" s="514">
        <v>19719.81300700002</v>
      </c>
      <c r="BD5" s="470">
        <v>56790</v>
      </c>
      <c r="BE5" s="535">
        <f>BC5+BD5+8289.51</f>
        <v>84799.32300700001</v>
      </c>
      <c r="BF5" s="345">
        <f>BB5+BE5</f>
        <v>84799.32300700001</v>
      </c>
      <c r="BG5" s="363">
        <v>0</v>
      </c>
      <c r="BH5" s="470">
        <f aca="true" t="shared" si="2" ref="BH5:BH11">AT5-AV5-BD5</f>
        <v>56790.509999999995</v>
      </c>
      <c r="BI5" s="535">
        <f>BG5+BH5+42209.49</f>
        <v>99000</v>
      </c>
      <c r="BJ5" s="78">
        <f>AY5+BF5+BI5</f>
        <v>232300.32300700003</v>
      </c>
      <c r="BK5" s="543">
        <f aca="true" t="shared" si="3" ref="BK5:BK11">S5+AG5+AQ5+BJ5</f>
        <v>1117140.3230070001</v>
      </c>
      <c r="BL5" s="148">
        <f>S5+AG5+AQ5+AY5</f>
        <v>933341</v>
      </c>
      <c r="BM5" s="86"/>
    </row>
    <row r="6" spans="1:65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G6*H23/100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M6*M23/100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40000-9479+11250</f>
        <v>41771</v>
      </c>
      <c r="AE6" s="79">
        <v>45419</v>
      </c>
      <c r="AF6" s="352">
        <f>AD6-AE6</f>
        <v>-3648</v>
      </c>
      <c r="AG6" s="77">
        <f>U6+AB6+AE6</f>
        <v>140945</v>
      </c>
      <c r="AH6" s="83">
        <f>40000-11250</f>
        <v>28750</v>
      </c>
      <c r="AI6" s="79">
        <v>32627</v>
      </c>
      <c r="AJ6" s="418">
        <f>AH6-AI6</f>
        <v>-3877</v>
      </c>
      <c r="AK6" s="83">
        <v>40000</v>
      </c>
      <c r="AL6" s="428">
        <v>48015</v>
      </c>
      <c r="AM6" s="441">
        <f>AK6-AL6</f>
        <v>-8015</v>
      </c>
      <c r="AN6" s="24">
        <f>40000+1082</f>
        <v>41082</v>
      </c>
      <c r="AO6" s="79">
        <v>56108</v>
      </c>
      <c r="AP6" s="483">
        <f t="shared" si="0"/>
        <v>-15026</v>
      </c>
      <c r="AQ6" s="77">
        <f t="shared" si="1"/>
        <v>136750</v>
      </c>
      <c r="AR6" s="24">
        <f>(S6+AG6+AQ6)/9</f>
        <v>49273.555555555555</v>
      </c>
      <c r="AS6" s="265">
        <f>AR6*AR25/100</f>
        <v>1304.081652859541</v>
      </c>
      <c r="AT6" s="341">
        <v>51573.62</v>
      </c>
      <c r="AU6" s="364">
        <v>40000</v>
      </c>
      <c r="AV6" s="471">
        <v>11217</v>
      </c>
      <c r="AW6" s="463">
        <f>AU6+AV6-1082</f>
        <v>50135</v>
      </c>
      <c r="AX6" s="364">
        <f aca="true" t="shared" si="4" ref="AX6:AX11">AS6+AW6</f>
        <v>51439.08165285954</v>
      </c>
      <c r="AY6" s="526">
        <v>51428</v>
      </c>
      <c r="AZ6" s="24">
        <f>AX6-AY6</f>
        <v>11.081652859538735</v>
      </c>
      <c r="BA6" s="24"/>
      <c r="BB6" s="542">
        <v>0</v>
      </c>
      <c r="BC6" s="364">
        <v>29643.709310200007</v>
      </c>
      <c r="BD6" s="471">
        <v>20357</v>
      </c>
      <c r="BE6" s="536">
        <f aca="true" t="shared" si="5" ref="BE6:BE11">BC6+BD6</f>
        <v>50000.70931020001</v>
      </c>
      <c r="BF6" s="83">
        <f>BB6+BE6</f>
        <v>50000.70931020001</v>
      </c>
      <c r="BG6" s="364">
        <v>0</v>
      </c>
      <c r="BH6" s="471">
        <f t="shared" si="2"/>
        <v>19999.620000000003</v>
      </c>
      <c r="BI6" s="536">
        <f aca="true" t="shared" si="6" ref="BI6:BI11">BG6+BH6</f>
        <v>19999.620000000003</v>
      </c>
      <c r="BJ6" s="77">
        <f aca="true" t="shared" si="7" ref="BJ6:BJ20">AY6+BF6+BI6</f>
        <v>121428.3293102</v>
      </c>
      <c r="BK6" s="544">
        <f t="shared" si="3"/>
        <v>564890.3293102</v>
      </c>
      <c r="BL6" s="149">
        <f>S6+AG6+AQ6+AY6</f>
        <v>494890</v>
      </c>
      <c r="BM6" s="87"/>
    </row>
    <row r="7" spans="1:65" s="5" customFormat="1" ht="24" customHeight="1">
      <c r="A7" s="4">
        <v>3</v>
      </c>
      <c r="B7" s="477" t="s">
        <v>160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G7*H23/100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M7*M23/100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W7*X25/100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>AA7-AB7</f>
        <v>-78424.99874254865</v>
      </c>
      <c r="AD7" s="364">
        <f>20000-750.53+2075.53</f>
        <v>21325</v>
      </c>
      <c r="AE7" s="79">
        <v>106925</v>
      </c>
      <c r="AF7" s="352">
        <f>AD7-AE7</f>
        <v>-85600</v>
      </c>
      <c r="AG7" s="77">
        <f>U7+AB7+AE7</f>
        <v>248085</v>
      </c>
      <c r="AH7" s="83">
        <f>20000-2075.53+160.53</f>
        <v>18085</v>
      </c>
      <c r="AI7" s="79">
        <v>68585</v>
      </c>
      <c r="AJ7" s="418">
        <f>AH7-AI7</f>
        <v>-50500</v>
      </c>
      <c r="AK7" s="83">
        <f>20000-160.53+145.53</f>
        <v>19985</v>
      </c>
      <c r="AL7" s="428">
        <v>110055</v>
      </c>
      <c r="AM7" s="441">
        <f>AK7-AL7</f>
        <v>-90070</v>
      </c>
      <c r="AN7" s="24">
        <f>20000-145.53+1200.53</f>
        <v>21055</v>
      </c>
      <c r="AO7" s="79">
        <v>119355</v>
      </c>
      <c r="AP7" s="483">
        <f t="shared" si="0"/>
        <v>-98300</v>
      </c>
      <c r="AQ7" s="77">
        <f t="shared" si="1"/>
        <v>297995</v>
      </c>
      <c r="AR7" s="24">
        <f>(S7+AG7+AQ7)/9</f>
        <v>94917.77777777778</v>
      </c>
      <c r="AS7" s="265">
        <f>AR7*AR25/100</f>
        <v>2512.1088002394604</v>
      </c>
      <c r="AT7" s="341">
        <v>27880.53</v>
      </c>
      <c r="AU7" s="364">
        <v>20623</v>
      </c>
      <c r="AV7" s="471">
        <v>5000</v>
      </c>
      <c r="AW7" s="463">
        <f>AU7+AV7-1200.53</f>
        <v>24422.47</v>
      </c>
      <c r="AX7" s="364">
        <f t="shared" si="4"/>
        <v>26934.578800239462</v>
      </c>
      <c r="AY7" s="526">
        <v>108185</v>
      </c>
      <c r="AZ7" s="208">
        <f aca="true" t="shared" si="8" ref="AZ7:AZ20">AX7-AY7</f>
        <v>-81250.42119976055</v>
      </c>
      <c r="BA7" s="24">
        <f>(S7+AG7+AQ7+AY7)/10</f>
        <v>96244.5</v>
      </c>
      <c r="BB7" s="542">
        <f>BA7*AZ25/100</f>
        <v>1532.207703355409</v>
      </c>
      <c r="BC7" s="364">
        <v>20000.19</v>
      </c>
      <c r="BD7" s="471">
        <v>5000</v>
      </c>
      <c r="BE7" s="536">
        <f t="shared" si="5"/>
        <v>25000.19</v>
      </c>
      <c r="BF7" s="265">
        <f aca="true" t="shared" si="9" ref="BF7:BF20">BB7+BE7</f>
        <v>26532.397703355407</v>
      </c>
      <c r="BG7" s="364">
        <v>0.0030900000165274832</v>
      </c>
      <c r="BH7" s="471">
        <f t="shared" si="2"/>
        <v>17880.53</v>
      </c>
      <c r="BI7" s="536">
        <f t="shared" si="6"/>
        <v>17880.533090000015</v>
      </c>
      <c r="BJ7" s="77">
        <f t="shared" si="7"/>
        <v>152597.93079335542</v>
      </c>
      <c r="BK7" s="544">
        <f t="shared" si="3"/>
        <v>1006857.9307933555</v>
      </c>
      <c r="BL7" s="149">
        <f aca="true" t="shared" si="10" ref="BL7:BL20">S7+AG7+AQ7+AY7</f>
        <v>962445</v>
      </c>
      <c r="BM7" s="87"/>
    </row>
    <row r="8" spans="1:65" s="5" customFormat="1" ht="24" customHeight="1">
      <c r="A8" s="4">
        <v>4</v>
      </c>
      <c r="B8" s="476" t="s">
        <v>161</v>
      </c>
      <c r="C8" s="149"/>
      <c r="D8" s="33"/>
      <c r="E8" s="251"/>
      <c r="F8" s="204"/>
      <c r="G8" s="32"/>
      <c r="H8" s="33"/>
      <c r="I8" s="32"/>
      <c r="J8" s="181"/>
      <c r="K8" s="45"/>
      <c r="L8" s="204"/>
      <c r="M8" s="268"/>
      <c r="N8" s="33"/>
      <c r="O8" s="268"/>
      <c r="P8" s="298"/>
      <c r="Q8" s="45"/>
      <c r="R8" s="204"/>
      <c r="S8" s="77"/>
      <c r="T8" s="315"/>
      <c r="U8" s="337"/>
      <c r="V8" s="352"/>
      <c r="W8" s="265"/>
      <c r="X8" s="315"/>
      <c r="Y8" s="341"/>
      <c r="Z8" s="83"/>
      <c r="AA8" s="394"/>
      <c r="AB8" s="397"/>
      <c r="AC8" s="400"/>
      <c r="AD8" s="364"/>
      <c r="AE8" s="79"/>
      <c r="AF8" s="352"/>
      <c r="AG8" s="77"/>
      <c r="AH8" s="83"/>
      <c r="AI8" s="79"/>
      <c r="AJ8" s="418"/>
      <c r="AK8" s="83"/>
      <c r="AL8" s="428"/>
      <c r="AM8" s="441"/>
      <c r="AN8" s="24">
        <v>0</v>
      </c>
      <c r="AO8" s="79">
        <v>0</v>
      </c>
      <c r="AP8" s="87">
        <f t="shared" si="0"/>
        <v>0</v>
      </c>
      <c r="AQ8" s="77">
        <f t="shared" si="1"/>
        <v>0</v>
      </c>
      <c r="AR8" s="24"/>
      <c r="AS8" s="265"/>
      <c r="AT8" s="341">
        <v>40544.33</v>
      </c>
      <c r="AU8" s="364">
        <v>0</v>
      </c>
      <c r="AV8" s="471">
        <v>15000</v>
      </c>
      <c r="AW8" s="463">
        <f>AU8+AV8</f>
        <v>15000</v>
      </c>
      <c r="AX8" s="364">
        <f>AS8+AW8+600</f>
        <v>15600</v>
      </c>
      <c r="AY8" s="526">
        <v>62380</v>
      </c>
      <c r="AZ8" s="208">
        <f t="shared" si="8"/>
        <v>-46780</v>
      </c>
      <c r="BA8" s="24">
        <f>(S8+AG8+AQ8+AY8)/1</f>
        <v>62380</v>
      </c>
      <c r="BB8" s="542">
        <f>BA8*AZ25/100</f>
        <v>993.0865299867567</v>
      </c>
      <c r="BC8" s="364">
        <v>0</v>
      </c>
      <c r="BD8" s="471">
        <v>15000</v>
      </c>
      <c r="BE8" s="536">
        <f>BC8+BD8-600</f>
        <v>14400</v>
      </c>
      <c r="BF8" s="265">
        <f t="shared" si="9"/>
        <v>15393.086529986756</v>
      </c>
      <c r="BG8" s="364">
        <v>0</v>
      </c>
      <c r="BH8" s="471">
        <f t="shared" si="2"/>
        <v>10544.330000000002</v>
      </c>
      <c r="BI8" s="536">
        <f t="shared" si="6"/>
        <v>10544.330000000002</v>
      </c>
      <c r="BJ8" s="77">
        <f t="shared" si="7"/>
        <v>88317.41652998676</v>
      </c>
      <c r="BK8" s="544">
        <f t="shared" si="3"/>
        <v>88317.41652998676</v>
      </c>
      <c r="BL8" s="149">
        <f t="shared" si="10"/>
        <v>62380</v>
      </c>
      <c r="BM8" s="87"/>
    </row>
    <row r="9" spans="1:65" s="5" customFormat="1" ht="24" customHeight="1">
      <c r="A9" s="4">
        <v>5</v>
      </c>
      <c r="B9" s="476" t="s">
        <v>162</v>
      </c>
      <c r="C9" s="149"/>
      <c r="D9" s="33"/>
      <c r="E9" s="251"/>
      <c r="F9" s="204"/>
      <c r="G9" s="32"/>
      <c r="H9" s="33"/>
      <c r="I9" s="32"/>
      <c r="J9" s="181"/>
      <c r="K9" s="45"/>
      <c r="L9" s="204"/>
      <c r="M9" s="268"/>
      <c r="N9" s="33"/>
      <c r="O9" s="268"/>
      <c r="P9" s="298"/>
      <c r="Q9" s="45"/>
      <c r="R9" s="204"/>
      <c r="S9" s="77"/>
      <c r="T9" s="315"/>
      <c r="U9" s="337"/>
      <c r="V9" s="352"/>
      <c r="W9" s="265"/>
      <c r="X9" s="315"/>
      <c r="Y9" s="341"/>
      <c r="Z9" s="83"/>
      <c r="AA9" s="394"/>
      <c r="AB9" s="397"/>
      <c r="AC9" s="400"/>
      <c r="AD9" s="364"/>
      <c r="AE9" s="79"/>
      <c r="AF9" s="352"/>
      <c r="AG9" s="77"/>
      <c r="AH9" s="83"/>
      <c r="AI9" s="79"/>
      <c r="AJ9" s="418"/>
      <c r="AK9" s="83"/>
      <c r="AL9" s="428"/>
      <c r="AM9" s="441"/>
      <c r="AN9" s="24">
        <v>0</v>
      </c>
      <c r="AO9" s="79">
        <v>0</v>
      </c>
      <c r="AP9" s="87">
        <f t="shared" si="0"/>
        <v>0</v>
      </c>
      <c r="AQ9" s="77">
        <f t="shared" si="1"/>
        <v>0</v>
      </c>
      <c r="AR9" s="24"/>
      <c r="AS9" s="265"/>
      <c r="AT9" s="341">
        <v>16166.46</v>
      </c>
      <c r="AU9" s="364">
        <v>0</v>
      </c>
      <c r="AV9" s="471">
        <v>6000</v>
      </c>
      <c r="AW9" s="463">
        <f>AU9+AV9</f>
        <v>6000</v>
      </c>
      <c r="AX9" s="364">
        <f t="shared" si="4"/>
        <v>6000</v>
      </c>
      <c r="AY9" s="526">
        <v>34370</v>
      </c>
      <c r="AZ9" s="208">
        <f t="shared" si="8"/>
        <v>-28370</v>
      </c>
      <c r="BA9" s="24">
        <f>(S9+AG9+AQ9+AY9)/1</f>
        <v>34370</v>
      </c>
      <c r="BB9" s="542">
        <f>BA9*AZ25/100</f>
        <v>547.1687084906192</v>
      </c>
      <c r="BC9" s="364">
        <v>0</v>
      </c>
      <c r="BD9" s="471">
        <v>6000</v>
      </c>
      <c r="BE9" s="536">
        <f t="shared" si="5"/>
        <v>6000</v>
      </c>
      <c r="BF9" s="265">
        <f t="shared" si="9"/>
        <v>6547.168708490619</v>
      </c>
      <c r="BG9" s="364">
        <v>0</v>
      </c>
      <c r="BH9" s="471">
        <f t="shared" si="2"/>
        <v>4166.459999999999</v>
      </c>
      <c r="BI9" s="536">
        <f t="shared" si="6"/>
        <v>4166.459999999999</v>
      </c>
      <c r="BJ9" s="77">
        <f t="shared" si="7"/>
        <v>45083.628708490614</v>
      </c>
      <c r="BK9" s="544">
        <f t="shared" si="3"/>
        <v>45083.628708490614</v>
      </c>
      <c r="BL9" s="149">
        <f t="shared" si="10"/>
        <v>34370</v>
      </c>
      <c r="BM9" s="87"/>
    </row>
    <row r="10" spans="1:65" s="5" customFormat="1" ht="26.25" customHeight="1">
      <c r="A10" s="4">
        <v>6</v>
      </c>
      <c r="B10" s="124" t="s">
        <v>7</v>
      </c>
      <c r="C10" s="149">
        <v>158383</v>
      </c>
      <c r="D10" s="33">
        <f>12001.81+1135.19</f>
        <v>13137</v>
      </c>
      <c r="E10" s="251">
        <v>13137</v>
      </c>
      <c r="F10" s="32">
        <f>D10-E10</f>
        <v>0</v>
      </c>
      <c r="G10" s="32">
        <f>(C10+E10)/13</f>
        <v>13193.846153846154</v>
      </c>
      <c r="H10" s="33">
        <f>11966.32-1135.19</f>
        <v>10831.13</v>
      </c>
      <c r="I10" s="32">
        <f>G10*H23/100</f>
        <v>404.09486364988953</v>
      </c>
      <c r="J10" s="181">
        <f>H10+I10+1121.78</f>
        <v>12357.004863649889</v>
      </c>
      <c r="K10" s="45">
        <v>12357</v>
      </c>
      <c r="L10" s="32">
        <f>J10-K10</f>
        <v>0.0048636498886480695</v>
      </c>
      <c r="M10" s="268">
        <f>(C10+E10+K10)/14</f>
        <v>13134.07142857143</v>
      </c>
      <c r="N10" s="33">
        <f>11966.32-1121.78</f>
        <v>10844.539999999999</v>
      </c>
      <c r="O10" s="268">
        <f>M10*M23/100</f>
        <v>238.97182756254446</v>
      </c>
      <c r="P10" s="298">
        <f>N10+O10</f>
        <v>11083.511827562543</v>
      </c>
      <c r="Q10" s="45">
        <v>11083</v>
      </c>
      <c r="R10" s="32">
        <f>P10-Q10</f>
        <v>0.5118275625427486</v>
      </c>
      <c r="S10" s="77">
        <f>E10+K10+Q10</f>
        <v>36577</v>
      </c>
      <c r="T10" s="315">
        <f>12087.19+1111.81</f>
        <v>13199</v>
      </c>
      <c r="U10" s="337">
        <v>13199</v>
      </c>
      <c r="V10" s="315">
        <f>T10-U10</f>
        <v>0</v>
      </c>
      <c r="W10" s="265">
        <f>(C10+S10+U10)/16</f>
        <v>13009.9375</v>
      </c>
      <c r="X10" s="315">
        <f>W10*X25/100</f>
        <v>1797.1807805540595</v>
      </c>
      <c r="Y10" s="341">
        <v>77123.49</v>
      </c>
      <c r="Z10" s="83">
        <f>12000-1111.81</f>
        <v>10888.19</v>
      </c>
      <c r="AA10" s="394">
        <f>X10+Z10+1265.63</f>
        <v>13951.000780554059</v>
      </c>
      <c r="AB10" s="397">
        <v>13951</v>
      </c>
      <c r="AC10" s="395">
        <f>AA10-AB10</f>
        <v>0.0007805540590197779</v>
      </c>
      <c r="AD10" s="364">
        <f>12000-1265.63+9.63</f>
        <v>10743.999999999998</v>
      </c>
      <c r="AE10" s="79">
        <v>10954</v>
      </c>
      <c r="AF10" s="410">
        <f>AD10-AE10</f>
        <v>-210.00000000000182</v>
      </c>
      <c r="AG10" s="77">
        <f>U10+AB10+AE10</f>
        <v>38104</v>
      </c>
      <c r="AH10" s="83">
        <f>12000-9.63+1174.63</f>
        <v>13165</v>
      </c>
      <c r="AI10" s="79">
        <v>13165</v>
      </c>
      <c r="AJ10" s="83">
        <f>AH10-AI10</f>
        <v>0</v>
      </c>
      <c r="AK10" s="83">
        <f>12000-1174.63+1086.63</f>
        <v>11912</v>
      </c>
      <c r="AL10" s="428">
        <v>11912</v>
      </c>
      <c r="AM10" s="425">
        <f>AK10-AL10</f>
        <v>0</v>
      </c>
      <c r="AN10" s="24">
        <f>12000-1086.63</f>
        <v>10913.369999999999</v>
      </c>
      <c r="AO10" s="79">
        <v>10913</v>
      </c>
      <c r="AP10" s="87">
        <f t="shared" si="0"/>
        <v>0.36999999999898137</v>
      </c>
      <c r="AQ10" s="77">
        <f t="shared" si="1"/>
        <v>35990</v>
      </c>
      <c r="AR10" s="24">
        <f>(S10+AG10+AQ10)/9</f>
        <v>12296.777777777777</v>
      </c>
      <c r="AS10" s="265">
        <f>AR10*AR25/100</f>
        <v>325.44845015721364</v>
      </c>
      <c r="AT10" s="341">
        <v>14162.82</v>
      </c>
      <c r="AU10" s="364">
        <v>12000</v>
      </c>
      <c r="AV10" s="471">
        <v>0</v>
      </c>
      <c r="AW10" s="463">
        <f>AU10+AV10</f>
        <v>12000</v>
      </c>
      <c r="AX10" s="364">
        <f>AS10+AW10+1226.55</f>
        <v>13551.998450157213</v>
      </c>
      <c r="AY10" s="526">
        <v>13552</v>
      </c>
      <c r="AZ10" s="24">
        <f t="shared" si="8"/>
        <v>-0.0015498427874263143</v>
      </c>
      <c r="BA10" s="24">
        <f>(S10+AG10+AQ10+AY10)/10</f>
        <v>12422.3</v>
      </c>
      <c r="BB10" s="542">
        <f>BA10*AZ25/100</f>
        <v>197.76240464018093</v>
      </c>
      <c r="BC10" s="364">
        <v>5123.493752520008</v>
      </c>
      <c r="BD10" s="471">
        <v>6877</v>
      </c>
      <c r="BE10" s="536">
        <f>BC10+BD10-1226.55</f>
        <v>10773.943752520008</v>
      </c>
      <c r="BF10" s="265">
        <f t="shared" si="9"/>
        <v>10971.70615716019</v>
      </c>
      <c r="BG10" s="364">
        <v>0</v>
      </c>
      <c r="BH10" s="471">
        <f t="shared" si="2"/>
        <v>7285.82</v>
      </c>
      <c r="BI10" s="536">
        <f t="shared" si="6"/>
        <v>7285.82</v>
      </c>
      <c r="BJ10" s="77">
        <f t="shared" si="7"/>
        <v>31809.526157160188</v>
      </c>
      <c r="BK10" s="544">
        <f t="shared" si="3"/>
        <v>142480.52615716017</v>
      </c>
      <c r="BL10" s="149">
        <f t="shared" si="10"/>
        <v>124223</v>
      </c>
      <c r="BM10" s="87"/>
    </row>
    <row r="11" spans="1:65" s="5" customFormat="1" ht="26.25" customHeight="1" thickBot="1">
      <c r="A11" s="4">
        <v>7</v>
      </c>
      <c r="B11" s="124" t="s">
        <v>11</v>
      </c>
      <c r="C11" s="149">
        <v>95375</v>
      </c>
      <c r="D11" s="33">
        <f>6662.76+652.24</f>
        <v>7315</v>
      </c>
      <c r="E11" s="251">
        <v>7725</v>
      </c>
      <c r="F11" s="204">
        <f>D11-E11</f>
        <v>-410</v>
      </c>
      <c r="G11" s="32">
        <f>(C11+E11)/13</f>
        <v>7930.7692307692305</v>
      </c>
      <c r="H11" s="33">
        <f>7170.08-652.24</f>
        <v>6517.84</v>
      </c>
      <c r="I11" s="32">
        <f>G11*H23/100</f>
        <v>242.8998393324604</v>
      </c>
      <c r="J11" s="181">
        <f>H11+I11+669.26</f>
        <v>7429.99983933246</v>
      </c>
      <c r="K11" s="45">
        <v>7745</v>
      </c>
      <c r="L11" s="204">
        <f>J11-K11</f>
        <v>-315.0001606675396</v>
      </c>
      <c r="M11" s="268">
        <f>(C11+E11+K11)/14</f>
        <v>7917.5</v>
      </c>
      <c r="N11" s="33">
        <f>7170.08-669.26</f>
        <v>6500.82</v>
      </c>
      <c r="O11" s="268">
        <f>M11*M23/100</f>
        <v>144.05734391016952</v>
      </c>
      <c r="P11" s="298">
        <f>N11+O11</f>
        <v>6644.87734391017</v>
      </c>
      <c r="Q11" s="45">
        <v>6850</v>
      </c>
      <c r="R11" s="204">
        <f>P11-Q11</f>
        <v>-205.12265608983034</v>
      </c>
      <c r="S11" s="77">
        <f>E11+K11+Q11</f>
        <v>22320</v>
      </c>
      <c r="T11" s="315">
        <f>7242.51+722.49</f>
        <v>7965</v>
      </c>
      <c r="U11" s="337">
        <v>7965</v>
      </c>
      <c r="V11" s="315">
        <f>T11-U11</f>
        <v>0</v>
      </c>
      <c r="W11" s="265">
        <f>(C11+S11+U11)/16</f>
        <v>7853.75</v>
      </c>
      <c r="X11" s="315">
        <f>W11*X25/100</f>
        <v>1084.9097895571324</v>
      </c>
      <c r="Y11" s="341">
        <v>46932.6</v>
      </c>
      <c r="Z11" s="83">
        <f>7000-722.49</f>
        <v>6277.51</v>
      </c>
      <c r="AA11" s="394">
        <f>X11+Z11</f>
        <v>7362.419789557132</v>
      </c>
      <c r="AB11" s="397">
        <v>7560</v>
      </c>
      <c r="AC11" s="400">
        <f>AA11-AB11</f>
        <v>-197.5802104428676</v>
      </c>
      <c r="AD11" s="364">
        <v>7000</v>
      </c>
      <c r="AE11" s="79">
        <v>7175</v>
      </c>
      <c r="AF11" s="352">
        <f>AD11-AE11</f>
        <v>-175</v>
      </c>
      <c r="AG11" s="77">
        <f>U11+AB11+AE11</f>
        <v>22700</v>
      </c>
      <c r="AH11" s="83">
        <v>7000</v>
      </c>
      <c r="AI11" s="79">
        <v>8200</v>
      </c>
      <c r="AJ11" s="418">
        <f>AH11-AI11</f>
        <v>-1200</v>
      </c>
      <c r="AK11" s="83">
        <v>7000</v>
      </c>
      <c r="AL11" s="428">
        <v>7390</v>
      </c>
      <c r="AM11" s="441">
        <f>AK11-AL11</f>
        <v>-390</v>
      </c>
      <c r="AN11" s="24">
        <v>7000</v>
      </c>
      <c r="AO11" s="79">
        <v>7650</v>
      </c>
      <c r="AP11" s="484">
        <f t="shared" si="0"/>
        <v>-650</v>
      </c>
      <c r="AQ11" s="77">
        <f t="shared" si="1"/>
        <v>23240</v>
      </c>
      <c r="AR11" s="24">
        <f>(S11+AG11+AQ11)/9</f>
        <v>7584.444444444444</v>
      </c>
      <c r="AS11" s="265">
        <f>AR11*AR25/100</f>
        <v>200.73109674378478</v>
      </c>
      <c r="AT11" s="341">
        <v>8618.62</v>
      </c>
      <c r="AU11" s="364">
        <v>7000</v>
      </c>
      <c r="AV11" s="471">
        <v>0</v>
      </c>
      <c r="AW11" s="463">
        <f>AU11+AV11</f>
        <v>7000</v>
      </c>
      <c r="AX11" s="364">
        <f t="shared" si="4"/>
        <v>7200.731096743785</v>
      </c>
      <c r="AY11" s="526">
        <v>7655</v>
      </c>
      <c r="AZ11" s="208">
        <f t="shared" si="8"/>
        <v>-454.2689032562148</v>
      </c>
      <c r="BA11" s="538">
        <f>(S11+AG11+AQ11+AY11)/10</f>
        <v>7591.5</v>
      </c>
      <c r="BB11" s="542">
        <f>BA11*AZ25/100</f>
        <v>120.85630638657364</v>
      </c>
      <c r="BC11" s="364">
        <v>4932.596685000004</v>
      </c>
      <c r="BD11" s="471">
        <v>4068</v>
      </c>
      <c r="BE11" s="536">
        <f t="shared" si="5"/>
        <v>9000.596685000004</v>
      </c>
      <c r="BF11" s="265">
        <f t="shared" si="9"/>
        <v>9121.452991386577</v>
      </c>
      <c r="BG11" s="364">
        <v>0</v>
      </c>
      <c r="BH11" s="471">
        <f t="shared" si="2"/>
        <v>4550.620000000001</v>
      </c>
      <c r="BI11" s="536">
        <f t="shared" si="6"/>
        <v>4550.620000000001</v>
      </c>
      <c r="BJ11" s="77">
        <f t="shared" si="7"/>
        <v>21327.07299138658</v>
      </c>
      <c r="BK11" s="549">
        <f t="shared" si="3"/>
        <v>89587.07299138658</v>
      </c>
      <c r="BL11" s="149">
        <f t="shared" si="10"/>
        <v>75915</v>
      </c>
      <c r="BM11" s="87"/>
    </row>
    <row r="12" spans="1:65" s="5" customFormat="1" ht="20.25" customHeight="1" thickBot="1">
      <c r="A12" s="4">
        <v>8</v>
      </c>
      <c r="B12" s="125" t="s">
        <v>1</v>
      </c>
      <c r="C12" s="47">
        <v>3105146</v>
      </c>
      <c r="D12" s="47">
        <f>SUM(D5:D11)</f>
        <v>185273.01</v>
      </c>
      <c r="E12" s="47">
        <f>SUM(E5:E11)</f>
        <v>243687</v>
      </c>
      <c r="F12" s="47">
        <f>F5+F10</f>
        <v>4125.550000000003</v>
      </c>
      <c r="G12" s="47">
        <f>SUM(G5:G11)</f>
        <v>173459</v>
      </c>
      <c r="H12" s="47">
        <f>SUM(H5:H11)</f>
        <v>181276.47</v>
      </c>
      <c r="I12" s="47">
        <f>SUM(I5:I11)</f>
        <v>5312.620000000002</v>
      </c>
      <c r="J12" s="47">
        <f>SUM(J5:J11)</f>
        <v>188535.34</v>
      </c>
      <c r="K12" s="47">
        <f>SUM(K5:K11)</f>
        <v>234311</v>
      </c>
      <c r="L12" s="47">
        <f>L5+L10</f>
        <v>10.36486364988923</v>
      </c>
      <c r="M12" s="47">
        <f>SUM(M5:M11)</f>
        <v>170588</v>
      </c>
      <c r="N12" s="47">
        <f>SUM(N5:N11)</f>
        <v>181350.30000000002</v>
      </c>
      <c r="O12" s="47">
        <f>SUM(O5:O11)</f>
        <v>3103.8148636498895</v>
      </c>
      <c r="P12" s="47">
        <f>SUM(P5:P11)</f>
        <v>184483.17486364988</v>
      </c>
      <c r="Q12" s="47">
        <f>SUM(Q5:Q11)</f>
        <v>354154</v>
      </c>
      <c r="R12" s="47">
        <f>R5+R10</f>
        <v>5.871827562543331</v>
      </c>
      <c r="S12" s="47">
        <f>SUM(S5:S11)</f>
        <v>832152</v>
      </c>
      <c r="T12" s="335">
        <f>SUM(T5:T11)</f>
        <v>187096.62</v>
      </c>
      <c r="U12" s="335">
        <f>SUM(U5:U11)</f>
        <v>180368</v>
      </c>
      <c r="V12" s="335">
        <f>V5+V6</f>
        <v>13328.620000000003</v>
      </c>
      <c r="W12" s="347">
        <f aca="true" t="shared" si="11" ref="W12:AB12">SUM(W5:W11)</f>
        <v>119625.25</v>
      </c>
      <c r="X12" s="347">
        <f t="shared" si="11"/>
        <v>16524.921827562546</v>
      </c>
      <c r="Y12" s="347">
        <f t="shared" si="11"/>
        <v>1148042.8</v>
      </c>
      <c r="Z12" s="347">
        <f t="shared" si="11"/>
        <v>176022.34000000003</v>
      </c>
      <c r="AA12" s="347">
        <f t="shared" si="11"/>
        <v>204042.42182756256</v>
      </c>
      <c r="AB12" s="347">
        <f t="shared" si="11"/>
        <v>288551</v>
      </c>
      <c r="AC12" s="347">
        <f>AC5</f>
        <v>1</v>
      </c>
      <c r="AD12" s="381">
        <f>SUM(AD5:AD11)</f>
        <v>179840</v>
      </c>
      <c r="AE12" s="369">
        <f>SUM(AE5:AE11)</f>
        <v>269469</v>
      </c>
      <c r="AF12" s="369">
        <f>AF5</f>
        <v>4</v>
      </c>
      <c r="AG12" s="347">
        <f>SUM(AG5:AG11)</f>
        <v>738388</v>
      </c>
      <c r="AH12" s="347">
        <f>SUM(AH5:AH11)</f>
        <v>166000</v>
      </c>
      <c r="AI12" s="347">
        <f>SUM(AI5:AI11)</f>
        <v>221570</v>
      </c>
      <c r="AJ12" s="347">
        <f>AJ5</f>
        <v>7</v>
      </c>
      <c r="AK12" s="347">
        <f>SUM(AK5:AK11)</f>
        <v>177897</v>
      </c>
      <c r="AL12" s="347">
        <f>SUM(AL5:AL11)</f>
        <v>276372</v>
      </c>
      <c r="AM12" s="347">
        <f>AM5+AM10</f>
        <v>0</v>
      </c>
      <c r="AN12" s="347">
        <f>SUM(AN5:AN11)</f>
        <v>179050.37</v>
      </c>
      <c r="AO12" s="347">
        <f>SUM(AO5:AO11)</f>
        <v>293011</v>
      </c>
      <c r="AP12" s="406">
        <f>AP5+AP8+AP9+AP10</f>
        <v>15.369999999998981</v>
      </c>
      <c r="AQ12" s="369">
        <f aca="true" t="shared" si="12" ref="AQ12:BM12">SUM(AQ5:AQ11)</f>
        <v>790953</v>
      </c>
      <c r="AR12" s="349">
        <f t="shared" si="12"/>
        <v>164072.55555555556</v>
      </c>
      <c r="AS12" s="369">
        <f t="shared" si="12"/>
        <v>4342.37</v>
      </c>
      <c r="AT12" s="369">
        <f t="shared" si="12"/>
        <v>272526.88999999996</v>
      </c>
      <c r="AU12" s="381">
        <f t="shared" si="12"/>
        <v>178623</v>
      </c>
      <c r="AV12" s="472">
        <f t="shared" si="12"/>
        <v>37217</v>
      </c>
      <c r="AW12" s="472">
        <f t="shared" si="12"/>
        <v>213557.47</v>
      </c>
      <c r="AX12" s="512">
        <f t="shared" si="12"/>
        <v>169227.38999999998</v>
      </c>
      <c r="AY12" s="518">
        <f t="shared" si="12"/>
        <v>326071</v>
      </c>
      <c r="AZ12" s="475">
        <f>AZ5+AZ6</f>
        <v>11.081652859538735</v>
      </c>
      <c r="BA12" s="539">
        <f t="shared" si="12"/>
        <v>213008.3</v>
      </c>
      <c r="BB12" s="475">
        <f t="shared" si="12"/>
        <v>3391.0816528595396</v>
      </c>
      <c r="BC12" s="513">
        <f t="shared" si="12"/>
        <v>79419.80275472003</v>
      </c>
      <c r="BD12" s="472">
        <f t="shared" si="12"/>
        <v>114092</v>
      </c>
      <c r="BE12" s="512">
        <f t="shared" si="12"/>
        <v>199974.76275472005</v>
      </c>
      <c r="BF12" s="512">
        <f t="shared" si="12"/>
        <v>203365.8444075796</v>
      </c>
      <c r="BG12" s="513">
        <f t="shared" si="12"/>
        <v>0.0030900000165274832</v>
      </c>
      <c r="BH12" s="472">
        <f t="shared" si="12"/>
        <v>121217.89000000001</v>
      </c>
      <c r="BI12" s="512">
        <f t="shared" si="12"/>
        <v>163427.38309</v>
      </c>
      <c r="BJ12" s="512">
        <f t="shared" si="12"/>
        <v>692864.2274975795</v>
      </c>
      <c r="BK12" s="551">
        <f t="shared" si="12"/>
        <v>3054357.2274975795</v>
      </c>
      <c r="BL12" s="551">
        <f t="shared" si="12"/>
        <v>2687564</v>
      </c>
      <c r="BM12" s="47">
        <f t="shared" si="12"/>
        <v>0</v>
      </c>
    </row>
    <row r="13" spans="1:65" s="5" customFormat="1" ht="22.5" customHeight="1">
      <c r="A13" s="4">
        <v>9</v>
      </c>
      <c r="B13" s="56" t="s">
        <v>21</v>
      </c>
      <c r="C13" s="149">
        <v>15360</v>
      </c>
      <c r="D13" s="24">
        <v>1272.07</v>
      </c>
      <c r="E13" s="101">
        <v>1260</v>
      </c>
      <c r="F13" s="32">
        <f aca="true" t="shared" si="13" ref="F13:F20">D13-E13</f>
        <v>12.069999999999936</v>
      </c>
      <c r="G13" s="32"/>
      <c r="H13" s="24">
        <v>1268.31</v>
      </c>
      <c r="I13" s="23"/>
      <c r="J13" s="181">
        <f aca="true" t="shared" si="14" ref="J13:J20">H13+I13</f>
        <v>1268.31</v>
      </c>
      <c r="K13" s="45">
        <v>1260</v>
      </c>
      <c r="L13" s="32">
        <f aca="true" t="shared" si="15" ref="L13:L20">J13-K13</f>
        <v>8.309999999999945</v>
      </c>
      <c r="M13" s="32"/>
      <c r="N13" s="33">
        <v>1268.31</v>
      </c>
      <c r="O13" s="32"/>
      <c r="P13" s="298">
        <f aca="true" t="shared" si="16" ref="P13:P20">N13+O13</f>
        <v>1268.31</v>
      </c>
      <c r="Q13" s="45">
        <v>1260</v>
      </c>
      <c r="R13" s="32">
        <f aca="true" t="shared" si="17" ref="R13:R20">P13-Q13</f>
        <v>8.309999999999945</v>
      </c>
      <c r="S13" s="77">
        <f aca="true" t="shared" si="18" ref="S13:S20">E13+K13+Q13</f>
        <v>3780</v>
      </c>
      <c r="T13" s="315">
        <v>1281.12</v>
      </c>
      <c r="U13" s="337">
        <v>1260</v>
      </c>
      <c r="V13" s="315">
        <f aca="true" t="shared" si="19" ref="V13:V20">T13-U13</f>
        <v>21.11999999999989</v>
      </c>
      <c r="W13" s="265">
        <v>0</v>
      </c>
      <c r="X13" s="315"/>
      <c r="Y13" s="341">
        <v>8301.85</v>
      </c>
      <c r="Z13" s="83">
        <v>960</v>
      </c>
      <c r="AA13" s="393">
        <f aca="true" t="shared" si="20" ref="AA13:AA20">X13+Z13</f>
        <v>960</v>
      </c>
      <c r="AB13" s="396">
        <v>960</v>
      </c>
      <c r="AC13" s="395">
        <f aca="true" t="shared" si="21" ref="AC13:AC20">AA13-AB13</f>
        <v>0</v>
      </c>
      <c r="AD13" s="364">
        <v>960</v>
      </c>
      <c r="AE13" s="79">
        <v>960</v>
      </c>
      <c r="AF13" s="364">
        <f aca="true" t="shared" si="22" ref="AF13:AF20">AD13-AE13</f>
        <v>0</v>
      </c>
      <c r="AG13" s="77">
        <f aca="true" t="shared" si="23" ref="AG13:AG20">U13+AB13+AE13</f>
        <v>3180</v>
      </c>
      <c r="AH13" s="83">
        <v>1200</v>
      </c>
      <c r="AI13" s="79">
        <v>1200</v>
      </c>
      <c r="AJ13" s="83">
        <f aca="true" t="shared" si="24" ref="AJ13:AJ20">AH13-AI13</f>
        <v>0</v>
      </c>
      <c r="AK13" s="83">
        <v>1200</v>
      </c>
      <c r="AL13" s="428">
        <v>1200</v>
      </c>
      <c r="AM13" s="425">
        <f aca="true" t="shared" si="25" ref="AM13:AM20">AK13-AL13</f>
        <v>0</v>
      </c>
      <c r="AN13" s="24">
        <v>1200</v>
      </c>
      <c r="AO13" s="79">
        <v>1200</v>
      </c>
      <c r="AP13" s="485">
        <f aca="true" t="shared" si="26" ref="AP13:AP20">AN13-AO13</f>
        <v>0</v>
      </c>
      <c r="AQ13" s="77">
        <f aca="true" t="shared" si="27" ref="AQ13:AQ20">AI13+AL13+AO13</f>
        <v>3600</v>
      </c>
      <c r="AR13" s="495"/>
      <c r="AS13" s="265"/>
      <c r="AT13" s="341">
        <v>1524.54</v>
      </c>
      <c r="AU13" s="364">
        <v>1200</v>
      </c>
      <c r="AV13" s="471">
        <v>300</v>
      </c>
      <c r="AW13" s="463">
        <f aca="true" t="shared" si="28" ref="AW13:AW20">AU13+AV13</f>
        <v>1500</v>
      </c>
      <c r="AX13" s="364">
        <f aca="true" t="shared" si="29" ref="AX13:AX20">AS13+AW13</f>
        <v>1500</v>
      </c>
      <c r="AY13" s="526">
        <v>1500</v>
      </c>
      <c r="AZ13" s="345">
        <f t="shared" si="8"/>
        <v>0</v>
      </c>
      <c r="BA13" s="480"/>
      <c r="BB13" s="345"/>
      <c r="BC13" s="364">
        <v>1200</v>
      </c>
      <c r="BD13" s="471">
        <v>300</v>
      </c>
      <c r="BE13" s="536">
        <f aca="true" t="shared" si="30" ref="BE13:BE20">BC13+BD13</f>
        <v>1500</v>
      </c>
      <c r="BF13" s="83">
        <f t="shared" si="9"/>
        <v>1500</v>
      </c>
      <c r="BG13" s="364">
        <v>381.85488027999963</v>
      </c>
      <c r="BH13" s="471">
        <f aca="true" t="shared" si="31" ref="BH13:BH20">AT13-AV13-BD13</f>
        <v>924.54</v>
      </c>
      <c r="BI13" s="536">
        <f aca="true" t="shared" si="32" ref="BI13:BI20">BG13+BH13</f>
        <v>1306.3948802799996</v>
      </c>
      <c r="BJ13" s="77">
        <f t="shared" si="7"/>
        <v>4306.39488028</v>
      </c>
      <c r="BK13" s="550">
        <f aca="true" t="shared" si="33" ref="BK13:BK20">S13+AG13+AQ13+BJ13</f>
        <v>14866.39488028</v>
      </c>
      <c r="BL13" s="149">
        <f t="shared" si="10"/>
        <v>12060</v>
      </c>
      <c r="BM13" s="87"/>
    </row>
    <row r="14" spans="1:65" s="27" customFormat="1" ht="21" customHeight="1">
      <c r="A14" s="4">
        <v>10</v>
      </c>
      <c r="B14" s="56" t="s">
        <v>22</v>
      </c>
      <c r="C14" s="149">
        <v>8160</v>
      </c>
      <c r="D14" s="24">
        <v>723.31</v>
      </c>
      <c r="E14" s="101">
        <v>720</v>
      </c>
      <c r="F14" s="32">
        <f t="shared" si="13"/>
        <v>3.3099999999999454</v>
      </c>
      <c r="G14" s="32"/>
      <c r="H14" s="24">
        <v>721.18</v>
      </c>
      <c r="I14" s="23"/>
      <c r="J14" s="181">
        <f t="shared" si="14"/>
        <v>721.18</v>
      </c>
      <c r="K14" s="45">
        <v>720</v>
      </c>
      <c r="L14" s="32">
        <f t="shared" si="15"/>
        <v>1.17999999999995</v>
      </c>
      <c r="M14" s="32"/>
      <c r="N14" s="33">
        <v>721.18</v>
      </c>
      <c r="O14" s="32"/>
      <c r="P14" s="298">
        <f t="shared" si="16"/>
        <v>721.18</v>
      </c>
      <c r="Q14" s="45">
        <v>720</v>
      </c>
      <c r="R14" s="32">
        <f t="shared" si="17"/>
        <v>1.17999999999995</v>
      </c>
      <c r="S14" s="77">
        <f t="shared" si="18"/>
        <v>2160</v>
      </c>
      <c r="T14" s="315">
        <v>728.46</v>
      </c>
      <c r="U14" s="337">
        <v>480</v>
      </c>
      <c r="V14" s="315">
        <f t="shared" si="19"/>
        <v>248.46000000000004</v>
      </c>
      <c r="W14" s="265">
        <v>0</v>
      </c>
      <c r="X14" s="315"/>
      <c r="Y14" s="341">
        <v>4720.54</v>
      </c>
      <c r="Z14" s="83">
        <v>660</v>
      </c>
      <c r="AA14" s="393">
        <f t="shared" si="20"/>
        <v>660</v>
      </c>
      <c r="AB14" s="396">
        <v>660</v>
      </c>
      <c r="AC14" s="395">
        <f t="shared" si="21"/>
        <v>0</v>
      </c>
      <c r="AD14" s="364">
        <v>660</v>
      </c>
      <c r="AE14" s="79">
        <v>660</v>
      </c>
      <c r="AF14" s="364">
        <f t="shared" si="22"/>
        <v>0</v>
      </c>
      <c r="AG14" s="77">
        <f t="shared" si="23"/>
        <v>1800</v>
      </c>
      <c r="AH14" s="83">
        <v>660</v>
      </c>
      <c r="AI14" s="79">
        <v>420</v>
      </c>
      <c r="AJ14" s="83">
        <f t="shared" si="24"/>
        <v>240</v>
      </c>
      <c r="AK14" s="83">
        <v>660</v>
      </c>
      <c r="AL14" s="428">
        <v>660</v>
      </c>
      <c r="AM14" s="425">
        <f t="shared" si="25"/>
        <v>0</v>
      </c>
      <c r="AN14" s="24">
        <v>660</v>
      </c>
      <c r="AO14" s="79">
        <v>660</v>
      </c>
      <c r="AP14" s="87">
        <f t="shared" si="26"/>
        <v>0</v>
      </c>
      <c r="AQ14" s="77">
        <f t="shared" si="27"/>
        <v>1740</v>
      </c>
      <c r="AR14" s="315"/>
      <c r="AS14" s="265"/>
      <c r="AT14" s="341">
        <v>866.87</v>
      </c>
      <c r="AU14" s="364">
        <v>660</v>
      </c>
      <c r="AV14" s="471">
        <v>240</v>
      </c>
      <c r="AW14" s="463">
        <f t="shared" si="28"/>
        <v>900</v>
      </c>
      <c r="AX14" s="364">
        <f t="shared" si="29"/>
        <v>900</v>
      </c>
      <c r="AY14" s="526">
        <v>900</v>
      </c>
      <c r="AZ14" s="83">
        <f t="shared" si="8"/>
        <v>0</v>
      </c>
      <c r="BA14" s="24"/>
      <c r="BB14" s="83"/>
      <c r="BC14" s="364">
        <v>660</v>
      </c>
      <c r="BD14" s="471">
        <v>240</v>
      </c>
      <c r="BE14" s="536">
        <f t="shared" si="30"/>
        <v>900</v>
      </c>
      <c r="BF14" s="83">
        <f t="shared" si="9"/>
        <v>900</v>
      </c>
      <c r="BG14" s="364">
        <v>100.53673324000101</v>
      </c>
      <c r="BH14" s="471">
        <f t="shared" si="31"/>
        <v>386.87</v>
      </c>
      <c r="BI14" s="536">
        <f t="shared" si="32"/>
        <v>487.406733240001</v>
      </c>
      <c r="BJ14" s="77">
        <f t="shared" si="7"/>
        <v>2287.406733240001</v>
      </c>
      <c r="BK14" s="544">
        <f t="shared" si="33"/>
        <v>7987.406733240001</v>
      </c>
      <c r="BL14" s="149">
        <f t="shared" si="10"/>
        <v>6600</v>
      </c>
      <c r="BM14" s="87"/>
    </row>
    <row r="15" spans="1:65" s="27" customFormat="1" ht="22.5" customHeight="1">
      <c r="A15" s="4">
        <v>11</v>
      </c>
      <c r="B15" s="56" t="s">
        <v>17</v>
      </c>
      <c r="C15" s="149">
        <v>10140</v>
      </c>
      <c r="D15" s="24">
        <v>897.38</v>
      </c>
      <c r="E15" s="101">
        <v>840</v>
      </c>
      <c r="F15" s="32">
        <f t="shared" si="13"/>
        <v>57.379999999999995</v>
      </c>
      <c r="G15" s="32"/>
      <c r="H15" s="24">
        <v>894.73</v>
      </c>
      <c r="I15" s="23"/>
      <c r="J15" s="181">
        <f t="shared" si="14"/>
        <v>894.73</v>
      </c>
      <c r="K15" s="45">
        <v>840</v>
      </c>
      <c r="L15" s="32">
        <f t="shared" si="15"/>
        <v>54.73000000000002</v>
      </c>
      <c r="M15" s="32"/>
      <c r="N15" s="33">
        <v>894.73</v>
      </c>
      <c r="O15" s="32"/>
      <c r="P15" s="298">
        <f t="shared" si="16"/>
        <v>894.73</v>
      </c>
      <c r="Q15" s="45">
        <v>840</v>
      </c>
      <c r="R15" s="32">
        <f t="shared" si="17"/>
        <v>54.73000000000002</v>
      </c>
      <c r="S15" s="77">
        <f t="shared" si="18"/>
        <v>2520</v>
      </c>
      <c r="T15" s="315">
        <v>903.77</v>
      </c>
      <c r="U15" s="337">
        <v>900</v>
      </c>
      <c r="V15" s="315">
        <f t="shared" si="19"/>
        <v>3.769999999999982</v>
      </c>
      <c r="W15" s="265">
        <v>0</v>
      </c>
      <c r="X15" s="315"/>
      <c r="Y15" s="341">
        <v>5856.55</v>
      </c>
      <c r="Z15" s="83">
        <v>780</v>
      </c>
      <c r="AA15" s="393">
        <f t="shared" si="20"/>
        <v>780</v>
      </c>
      <c r="AB15" s="396">
        <v>780</v>
      </c>
      <c r="AC15" s="395">
        <f t="shared" si="21"/>
        <v>0</v>
      </c>
      <c r="AD15" s="364">
        <v>780</v>
      </c>
      <c r="AE15" s="79">
        <v>780</v>
      </c>
      <c r="AF15" s="364">
        <f t="shared" si="22"/>
        <v>0</v>
      </c>
      <c r="AG15" s="77">
        <f t="shared" si="23"/>
        <v>2460</v>
      </c>
      <c r="AH15" s="83">
        <v>780</v>
      </c>
      <c r="AI15" s="79">
        <v>780</v>
      </c>
      <c r="AJ15" s="83">
        <f t="shared" si="24"/>
        <v>0</v>
      </c>
      <c r="AK15" s="83">
        <v>780</v>
      </c>
      <c r="AL15" s="428">
        <v>720</v>
      </c>
      <c r="AM15" s="425">
        <f t="shared" si="25"/>
        <v>60</v>
      </c>
      <c r="AN15" s="24">
        <v>780</v>
      </c>
      <c r="AO15" s="79">
        <v>780</v>
      </c>
      <c r="AP15" s="87">
        <f t="shared" si="26"/>
        <v>0</v>
      </c>
      <c r="AQ15" s="77">
        <f t="shared" si="27"/>
        <v>2280</v>
      </c>
      <c r="AR15" s="315"/>
      <c r="AS15" s="265"/>
      <c r="AT15" s="341">
        <v>1075.49</v>
      </c>
      <c r="AU15" s="364">
        <v>780</v>
      </c>
      <c r="AV15" s="471">
        <v>420</v>
      </c>
      <c r="AW15" s="463">
        <f t="shared" si="28"/>
        <v>1200</v>
      </c>
      <c r="AX15" s="364">
        <f t="shared" si="29"/>
        <v>1200</v>
      </c>
      <c r="AY15" s="526">
        <v>1200</v>
      </c>
      <c r="AZ15" s="83">
        <f t="shared" si="8"/>
        <v>0</v>
      </c>
      <c r="BA15" s="24"/>
      <c r="BB15" s="83"/>
      <c r="BC15" s="364">
        <v>780</v>
      </c>
      <c r="BD15" s="471">
        <v>420</v>
      </c>
      <c r="BE15" s="536">
        <f t="shared" si="30"/>
        <v>1200</v>
      </c>
      <c r="BF15" s="83">
        <f t="shared" si="9"/>
        <v>1200</v>
      </c>
      <c r="BG15" s="364">
        <v>396.54625300000043</v>
      </c>
      <c r="BH15" s="471">
        <f t="shared" si="31"/>
        <v>235.49</v>
      </c>
      <c r="BI15" s="536">
        <f t="shared" si="32"/>
        <v>632.0362530000004</v>
      </c>
      <c r="BJ15" s="77">
        <f t="shared" si="7"/>
        <v>3032.036253</v>
      </c>
      <c r="BK15" s="544">
        <f t="shared" si="33"/>
        <v>10292.036253</v>
      </c>
      <c r="BL15" s="149">
        <f t="shared" si="10"/>
        <v>8460</v>
      </c>
      <c r="BM15" s="87"/>
    </row>
    <row r="16" spans="1:65" s="27" customFormat="1" ht="22.5" customHeight="1">
      <c r="A16" s="4">
        <v>12</v>
      </c>
      <c r="B16" s="56" t="s">
        <v>20</v>
      </c>
      <c r="C16" s="149">
        <v>8220</v>
      </c>
      <c r="D16" s="24">
        <v>730.2</v>
      </c>
      <c r="E16" s="101">
        <v>660</v>
      </c>
      <c r="F16" s="32">
        <f t="shared" si="13"/>
        <v>70.20000000000005</v>
      </c>
      <c r="G16" s="32"/>
      <c r="H16" s="24">
        <v>728.04</v>
      </c>
      <c r="I16" s="23"/>
      <c r="J16" s="181">
        <f t="shared" si="14"/>
        <v>728.04</v>
      </c>
      <c r="K16" s="45">
        <v>720</v>
      </c>
      <c r="L16" s="32">
        <f t="shared" si="15"/>
        <v>8.039999999999964</v>
      </c>
      <c r="M16" s="32"/>
      <c r="N16" s="33">
        <v>728.04</v>
      </c>
      <c r="O16" s="32"/>
      <c r="P16" s="298">
        <f t="shared" si="16"/>
        <v>728.04</v>
      </c>
      <c r="Q16" s="45">
        <v>660</v>
      </c>
      <c r="R16" s="32">
        <f t="shared" si="17"/>
        <v>68.03999999999996</v>
      </c>
      <c r="S16" s="77">
        <f t="shared" si="18"/>
        <v>2040</v>
      </c>
      <c r="T16" s="315">
        <v>735.39</v>
      </c>
      <c r="U16" s="337">
        <v>180</v>
      </c>
      <c r="V16" s="315">
        <f t="shared" si="19"/>
        <v>555.39</v>
      </c>
      <c r="W16" s="265">
        <v>0</v>
      </c>
      <c r="X16" s="315"/>
      <c r="Y16" s="341">
        <v>4765.46</v>
      </c>
      <c r="Z16" s="83">
        <v>660</v>
      </c>
      <c r="AA16" s="393">
        <f t="shared" si="20"/>
        <v>660</v>
      </c>
      <c r="AB16" s="396">
        <v>660</v>
      </c>
      <c r="AC16" s="395">
        <f t="shared" si="21"/>
        <v>0</v>
      </c>
      <c r="AD16" s="364">
        <v>660</v>
      </c>
      <c r="AE16" s="79">
        <v>660</v>
      </c>
      <c r="AF16" s="364">
        <f t="shared" si="22"/>
        <v>0</v>
      </c>
      <c r="AG16" s="77">
        <f t="shared" si="23"/>
        <v>1500</v>
      </c>
      <c r="AH16" s="83">
        <v>660</v>
      </c>
      <c r="AI16" s="79">
        <v>660</v>
      </c>
      <c r="AJ16" s="83">
        <f t="shared" si="24"/>
        <v>0</v>
      </c>
      <c r="AK16" s="83">
        <v>660</v>
      </c>
      <c r="AL16" s="428">
        <v>660</v>
      </c>
      <c r="AM16" s="425">
        <f t="shared" si="25"/>
        <v>0</v>
      </c>
      <c r="AN16" s="24">
        <v>660</v>
      </c>
      <c r="AO16" s="79">
        <v>600</v>
      </c>
      <c r="AP16" s="87">
        <f t="shared" si="26"/>
        <v>60</v>
      </c>
      <c r="AQ16" s="77">
        <f t="shared" si="27"/>
        <v>1920</v>
      </c>
      <c r="AR16" s="315"/>
      <c r="AS16" s="265"/>
      <c r="AT16" s="341">
        <v>875.12</v>
      </c>
      <c r="AU16" s="364">
        <v>660</v>
      </c>
      <c r="AV16" s="471">
        <v>240</v>
      </c>
      <c r="AW16" s="463">
        <f t="shared" si="28"/>
        <v>900</v>
      </c>
      <c r="AX16" s="364">
        <f t="shared" si="29"/>
        <v>900</v>
      </c>
      <c r="AY16" s="526">
        <v>900</v>
      </c>
      <c r="AZ16" s="83">
        <f t="shared" si="8"/>
        <v>0</v>
      </c>
      <c r="BA16" s="24"/>
      <c r="BB16" s="83"/>
      <c r="BC16" s="364">
        <v>660</v>
      </c>
      <c r="BD16" s="471">
        <v>240</v>
      </c>
      <c r="BE16" s="536">
        <f t="shared" si="30"/>
        <v>900</v>
      </c>
      <c r="BF16" s="83">
        <f t="shared" si="9"/>
        <v>900</v>
      </c>
      <c r="BG16" s="364">
        <v>145.46366339999986</v>
      </c>
      <c r="BH16" s="471">
        <f t="shared" si="31"/>
        <v>395.12</v>
      </c>
      <c r="BI16" s="536">
        <f t="shared" si="32"/>
        <v>540.5836633999999</v>
      </c>
      <c r="BJ16" s="77">
        <f t="shared" si="7"/>
        <v>2340.5836633999998</v>
      </c>
      <c r="BK16" s="544">
        <f t="shared" si="33"/>
        <v>7800.5836634</v>
      </c>
      <c r="BL16" s="149">
        <f t="shared" si="10"/>
        <v>6360</v>
      </c>
      <c r="BM16" s="87"/>
    </row>
    <row r="17" spans="1:65" s="5" customFormat="1" ht="23.25" customHeight="1">
      <c r="A17" s="4">
        <v>13</v>
      </c>
      <c r="B17" s="56" t="s">
        <v>23</v>
      </c>
      <c r="C17" s="149">
        <v>32145</v>
      </c>
      <c r="D17" s="24">
        <v>2655.27</v>
      </c>
      <c r="E17" s="101">
        <v>2655</v>
      </c>
      <c r="F17" s="32">
        <f t="shared" si="13"/>
        <v>0.2699999999999818</v>
      </c>
      <c r="G17" s="32"/>
      <c r="H17" s="24">
        <v>2647.42</v>
      </c>
      <c r="I17" s="24"/>
      <c r="J17" s="181">
        <f t="shared" si="14"/>
        <v>2647.42</v>
      </c>
      <c r="K17" s="74">
        <v>2640</v>
      </c>
      <c r="L17" s="32">
        <f t="shared" si="15"/>
        <v>7.420000000000073</v>
      </c>
      <c r="M17" s="32"/>
      <c r="N17" s="33">
        <v>2647.42</v>
      </c>
      <c r="O17" s="32"/>
      <c r="P17" s="298">
        <f t="shared" si="16"/>
        <v>2647.42</v>
      </c>
      <c r="Q17" s="45">
        <v>2640</v>
      </c>
      <c r="R17" s="32">
        <f t="shared" si="17"/>
        <v>7.420000000000073</v>
      </c>
      <c r="S17" s="77">
        <f t="shared" si="18"/>
        <v>7935</v>
      </c>
      <c r="T17" s="315">
        <v>2674.16</v>
      </c>
      <c r="U17" s="337">
        <v>2670</v>
      </c>
      <c r="V17" s="315">
        <f t="shared" si="19"/>
        <v>4.1599999999998545</v>
      </c>
      <c r="W17" s="265">
        <v>0</v>
      </c>
      <c r="X17" s="315"/>
      <c r="Y17" s="341">
        <v>17328.96</v>
      </c>
      <c r="Z17" s="83">
        <v>2400</v>
      </c>
      <c r="AA17" s="393">
        <f t="shared" si="20"/>
        <v>2400</v>
      </c>
      <c r="AB17" s="396">
        <v>2400</v>
      </c>
      <c r="AC17" s="395">
        <f t="shared" si="21"/>
        <v>0</v>
      </c>
      <c r="AD17" s="364">
        <v>2400</v>
      </c>
      <c r="AE17" s="79">
        <v>2400</v>
      </c>
      <c r="AF17" s="364">
        <f t="shared" si="22"/>
        <v>0</v>
      </c>
      <c r="AG17" s="77">
        <f t="shared" si="23"/>
        <v>7470</v>
      </c>
      <c r="AH17" s="83">
        <v>2400</v>
      </c>
      <c r="AI17" s="79">
        <v>2400</v>
      </c>
      <c r="AJ17" s="83">
        <f t="shared" si="24"/>
        <v>0</v>
      </c>
      <c r="AK17" s="83">
        <v>2400</v>
      </c>
      <c r="AL17" s="428">
        <v>2400</v>
      </c>
      <c r="AM17" s="425">
        <f t="shared" si="25"/>
        <v>0</v>
      </c>
      <c r="AN17" s="24">
        <v>2400</v>
      </c>
      <c r="AO17" s="79">
        <v>2400</v>
      </c>
      <c r="AP17" s="87">
        <f t="shared" si="26"/>
        <v>0</v>
      </c>
      <c r="AQ17" s="77">
        <f t="shared" si="27"/>
        <v>7200</v>
      </c>
      <c r="AR17" s="315"/>
      <c r="AS17" s="265"/>
      <c r="AT17" s="341">
        <v>3182.26</v>
      </c>
      <c r="AU17" s="364">
        <v>2400</v>
      </c>
      <c r="AV17" s="471">
        <v>525</v>
      </c>
      <c r="AW17" s="463">
        <f t="shared" si="28"/>
        <v>2925</v>
      </c>
      <c r="AX17" s="364">
        <f t="shared" si="29"/>
        <v>2925</v>
      </c>
      <c r="AY17" s="526">
        <v>2850</v>
      </c>
      <c r="AZ17" s="83">
        <f t="shared" si="8"/>
        <v>75</v>
      </c>
      <c r="BA17" s="24"/>
      <c r="BB17" s="83"/>
      <c r="BC17" s="364">
        <v>2400</v>
      </c>
      <c r="BD17" s="471">
        <v>525</v>
      </c>
      <c r="BE17" s="536">
        <f t="shared" si="30"/>
        <v>2925</v>
      </c>
      <c r="BF17" s="83">
        <f t="shared" si="9"/>
        <v>2925</v>
      </c>
      <c r="BG17" s="364">
        <v>528.9587760000031</v>
      </c>
      <c r="BH17" s="471">
        <f t="shared" si="31"/>
        <v>2132.26</v>
      </c>
      <c r="BI17" s="536">
        <f t="shared" si="32"/>
        <v>2661.2187760000033</v>
      </c>
      <c r="BJ17" s="77">
        <f t="shared" si="7"/>
        <v>8436.218776000003</v>
      </c>
      <c r="BK17" s="544">
        <f t="shared" si="33"/>
        <v>31041.218776</v>
      </c>
      <c r="BL17" s="149">
        <f t="shared" si="10"/>
        <v>25455</v>
      </c>
      <c r="BM17" s="87"/>
    </row>
    <row r="18" spans="1:65" s="27" customFormat="1" ht="22.5" customHeight="1">
      <c r="A18" s="4">
        <v>14</v>
      </c>
      <c r="B18" s="56" t="s">
        <v>14</v>
      </c>
      <c r="C18" s="149">
        <v>25740</v>
      </c>
      <c r="D18" s="24">
        <v>2311.07</v>
      </c>
      <c r="E18" s="101">
        <v>2280</v>
      </c>
      <c r="F18" s="32">
        <f t="shared" si="13"/>
        <v>31.070000000000164</v>
      </c>
      <c r="G18" s="32"/>
      <c r="H18" s="24">
        <v>2304.23</v>
      </c>
      <c r="I18" s="23"/>
      <c r="J18" s="181">
        <f t="shared" si="14"/>
        <v>2304.23</v>
      </c>
      <c r="K18" s="45">
        <v>0</v>
      </c>
      <c r="L18" s="32">
        <f t="shared" si="15"/>
        <v>2304.23</v>
      </c>
      <c r="M18" s="32"/>
      <c r="N18" s="33">
        <v>2304.23</v>
      </c>
      <c r="O18" s="32"/>
      <c r="P18" s="298">
        <f t="shared" si="16"/>
        <v>2304.23</v>
      </c>
      <c r="Q18" s="45">
        <v>2280</v>
      </c>
      <c r="R18" s="32">
        <f t="shared" si="17"/>
        <v>24.230000000000018</v>
      </c>
      <c r="S18" s="77">
        <f t="shared" si="18"/>
        <v>4560</v>
      </c>
      <c r="T18" s="315">
        <v>2327.51</v>
      </c>
      <c r="U18" s="337">
        <v>1940</v>
      </c>
      <c r="V18" s="315">
        <f t="shared" si="19"/>
        <v>387.5100000000002</v>
      </c>
      <c r="W18" s="265">
        <v>0</v>
      </c>
      <c r="X18" s="315"/>
      <c r="Y18" s="341">
        <v>15082.61</v>
      </c>
      <c r="Z18" s="83">
        <v>2220</v>
      </c>
      <c r="AA18" s="393">
        <f t="shared" si="20"/>
        <v>2220</v>
      </c>
      <c r="AB18" s="396">
        <v>2160</v>
      </c>
      <c r="AC18" s="395">
        <f t="shared" si="21"/>
        <v>60</v>
      </c>
      <c r="AD18" s="364">
        <v>2220</v>
      </c>
      <c r="AE18" s="79">
        <v>2180</v>
      </c>
      <c r="AF18" s="364">
        <f t="shared" si="22"/>
        <v>40</v>
      </c>
      <c r="AG18" s="77">
        <f t="shared" si="23"/>
        <v>6280</v>
      </c>
      <c r="AH18" s="83">
        <v>2220</v>
      </c>
      <c r="AI18" s="79">
        <v>2220</v>
      </c>
      <c r="AJ18" s="83">
        <f t="shared" si="24"/>
        <v>0</v>
      </c>
      <c r="AK18" s="83">
        <v>2220</v>
      </c>
      <c r="AL18" s="428">
        <v>2180</v>
      </c>
      <c r="AM18" s="425">
        <f t="shared" si="25"/>
        <v>40</v>
      </c>
      <c r="AN18" s="24">
        <v>2220</v>
      </c>
      <c r="AO18" s="79">
        <v>1340</v>
      </c>
      <c r="AP18" s="87">
        <f t="shared" si="26"/>
        <v>880</v>
      </c>
      <c r="AQ18" s="77">
        <f t="shared" si="27"/>
        <v>5740</v>
      </c>
      <c r="AR18" s="315"/>
      <c r="AS18" s="265"/>
      <c r="AT18" s="341">
        <v>2769.74</v>
      </c>
      <c r="AU18" s="364">
        <v>2220</v>
      </c>
      <c r="AV18" s="471">
        <v>380</v>
      </c>
      <c r="AW18" s="463">
        <f t="shared" si="28"/>
        <v>2600</v>
      </c>
      <c r="AX18" s="364">
        <f t="shared" si="29"/>
        <v>2600</v>
      </c>
      <c r="AY18" s="526">
        <v>2560</v>
      </c>
      <c r="AZ18" s="83">
        <f t="shared" si="8"/>
        <v>40</v>
      </c>
      <c r="BA18" s="24"/>
      <c r="BB18" s="83"/>
      <c r="BC18" s="364">
        <v>1762.6122680000008</v>
      </c>
      <c r="BD18" s="471">
        <v>838</v>
      </c>
      <c r="BE18" s="536">
        <f t="shared" si="30"/>
        <v>2600.6122680000008</v>
      </c>
      <c r="BF18" s="83">
        <f t="shared" si="9"/>
        <v>2600.6122680000008</v>
      </c>
      <c r="BG18" s="364">
        <v>0</v>
      </c>
      <c r="BH18" s="471">
        <f t="shared" si="31"/>
        <v>1551.7399999999998</v>
      </c>
      <c r="BI18" s="536">
        <f t="shared" si="32"/>
        <v>1551.7399999999998</v>
      </c>
      <c r="BJ18" s="77">
        <f t="shared" si="7"/>
        <v>6712.352268000001</v>
      </c>
      <c r="BK18" s="544">
        <f t="shared" si="33"/>
        <v>23292.352268000002</v>
      </c>
      <c r="BL18" s="149">
        <f t="shared" si="10"/>
        <v>19140</v>
      </c>
      <c r="BM18" s="87"/>
    </row>
    <row r="19" spans="1:65" s="5" customFormat="1" ht="22.5" customHeight="1">
      <c r="A19" s="4">
        <v>15</v>
      </c>
      <c r="B19" s="56" t="s">
        <v>24</v>
      </c>
      <c r="C19" s="149">
        <v>6000</v>
      </c>
      <c r="D19" s="24">
        <v>1425.98</v>
      </c>
      <c r="E19" s="101">
        <v>420</v>
      </c>
      <c r="F19" s="32">
        <f t="shared" si="13"/>
        <v>1005.98</v>
      </c>
      <c r="G19" s="32"/>
      <c r="H19" s="24">
        <v>1421.76</v>
      </c>
      <c r="I19" s="23"/>
      <c r="J19" s="181">
        <f t="shared" si="14"/>
        <v>1421.76</v>
      </c>
      <c r="K19" s="45">
        <v>720</v>
      </c>
      <c r="L19" s="32">
        <f t="shared" si="15"/>
        <v>701.76</v>
      </c>
      <c r="M19" s="32"/>
      <c r="N19" s="33">
        <v>1421.76</v>
      </c>
      <c r="O19" s="32"/>
      <c r="P19" s="298">
        <f t="shared" si="16"/>
        <v>1421.76</v>
      </c>
      <c r="Q19" s="45">
        <v>630</v>
      </c>
      <c r="R19" s="32">
        <f t="shared" si="17"/>
        <v>791.76</v>
      </c>
      <c r="S19" s="77">
        <f t="shared" si="18"/>
        <v>1770</v>
      </c>
      <c r="T19" s="315">
        <v>1436.12</v>
      </c>
      <c r="U19" s="337">
        <v>450</v>
      </c>
      <c r="V19" s="315">
        <f t="shared" si="19"/>
        <v>986.1199999999999</v>
      </c>
      <c r="W19" s="265">
        <v>0</v>
      </c>
      <c r="X19" s="315"/>
      <c r="Y19" s="341">
        <v>9306.29</v>
      </c>
      <c r="Z19" s="83">
        <v>820</v>
      </c>
      <c r="AA19" s="393">
        <f t="shared" si="20"/>
        <v>820</v>
      </c>
      <c r="AB19" s="396">
        <v>540</v>
      </c>
      <c r="AC19" s="395">
        <f t="shared" si="21"/>
        <v>280</v>
      </c>
      <c r="AD19" s="364">
        <v>820</v>
      </c>
      <c r="AE19" s="79">
        <v>480</v>
      </c>
      <c r="AF19" s="364">
        <f t="shared" si="22"/>
        <v>340</v>
      </c>
      <c r="AG19" s="77">
        <f t="shared" si="23"/>
        <v>1470</v>
      </c>
      <c r="AH19" s="83">
        <v>1300</v>
      </c>
      <c r="AI19" s="79">
        <v>480</v>
      </c>
      <c r="AJ19" s="83">
        <f t="shared" si="24"/>
        <v>820</v>
      </c>
      <c r="AK19" s="83">
        <v>1300</v>
      </c>
      <c r="AL19" s="428">
        <v>630</v>
      </c>
      <c r="AM19" s="425">
        <f t="shared" si="25"/>
        <v>670</v>
      </c>
      <c r="AN19" s="24">
        <v>1300</v>
      </c>
      <c r="AO19" s="79">
        <v>510</v>
      </c>
      <c r="AP19" s="87">
        <f t="shared" si="26"/>
        <v>790</v>
      </c>
      <c r="AQ19" s="77">
        <f t="shared" si="27"/>
        <v>1620</v>
      </c>
      <c r="AR19" s="315"/>
      <c r="AS19" s="265"/>
      <c r="AT19" s="341">
        <v>1708.99</v>
      </c>
      <c r="AU19" s="364">
        <v>1500</v>
      </c>
      <c r="AV19" s="471">
        <v>700</v>
      </c>
      <c r="AW19" s="463">
        <f t="shared" si="28"/>
        <v>2200</v>
      </c>
      <c r="AX19" s="364">
        <f t="shared" si="29"/>
        <v>2200</v>
      </c>
      <c r="AY19" s="526">
        <v>420</v>
      </c>
      <c r="AZ19" s="83">
        <f t="shared" si="8"/>
        <v>1780</v>
      </c>
      <c r="BA19" s="24"/>
      <c r="BB19" s="83"/>
      <c r="BC19" s="364">
        <v>1500</v>
      </c>
      <c r="BD19" s="471">
        <v>700</v>
      </c>
      <c r="BE19" s="536">
        <f t="shared" si="30"/>
        <v>2200</v>
      </c>
      <c r="BF19" s="83">
        <f t="shared" si="9"/>
        <v>2200</v>
      </c>
      <c r="BG19" s="364">
        <v>766.2926760000009</v>
      </c>
      <c r="BH19" s="471">
        <f t="shared" si="31"/>
        <v>308.99</v>
      </c>
      <c r="BI19" s="536">
        <f t="shared" si="32"/>
        <v>1075.282676000001</v>
      </c>
      <c r="BJ19" s="77">
        <f t="shared" si="7"/>
        <v>3695.2826760000007</v>
      </c>
      <c r="BK19" s="544">
        <f t="shared" si="33"/>
        <v>8555.282676</v>
      </c>
      <c r="BL19" s="149">
        <f t="shared" si="10"/>
        <v>5280</v>
      </c>
      <c r="BM19" s="87"/>
    </row>
    <row r="20" spans="1:65" s="5" customFormat="1" ht="22.5" customHeight="1" thickBot="1">
      <c r="A20" s="4">
        <v>16</v>
      </c>
      <c r="B20" s="56" t="s">
        <v>25</v>
      </c>
      <c r="C20" s="149">
        <v>77425</v>
      </c>
      <c r="D20" s="30">
        <v>4731.79</v>
      </c>
      <c r="E20" s="102">
        <v>4725</v>
      </c>
      <c r="F20" s="32">
        <f t="shared" si="13"/>
        <v>6.789999999999964</v>
      </c>
      <c r="G20" s="63"/>
      <c r="H20" s="30">
        <v>4717.78</v>
      </c>
      <c r="I20" s="54"/>
      <c r="J20" s="260">
        <f t="shared" si="14"/>
        <v>4717.78</v>
      </c>
      <c r="K20" s="46">
        <v>4710</v>
      </c>
      <c r="L20" s="32">
        <f t="shared" si="15"/>
        <v>7.779999999999745</v>
      </c>
      <c r="M20" s="63"/>
      <c r="N20" s="34">
        <v>4717.78</v>
      </c>
      <c r="O20" s="63"/>
      <c r="P20" s="298">
        <f t="shared" si="16"/>
        <v>4717.78</v>
      </c>
      <c r="Q20" s="46">
        <v>4695</v>
      </c>
      <c r="R20" s="32">
        <f t="shared" si="17"/>
        <v>22.779999999999745</v>
      </c>
      <c r="S20" s="77">
        <f t="shared" si="18"/>
        <v>14130</v>
      </c>
      <c r="T20" s="315">
        <v>4765.45</v>
      </c>
      <c r="U20" s="338">
        <v>4760</v>
      </c>
      <c r="V20" s="315">
        <f t="shared" si="19"/>
        <v>5.449999999999818</v>
      </c>
      <c r="W20" s="265">
        <v>0</v>
      </c>
      <c r="X20" s="380"/>
      <c r="Y20" s="342">
        <v>68994.94</v>
      </c>
      <c r="Z20" s="365">
        <v>9000</v>
      </c>
      <c r="AA20" s="393">
        <f t="shared" si="20"/>
        <v>9000</v>
      </c>
      <c r="AB20" s="396">
        <v>9000</v>
      </c>
      <c r="AC20" s="395">
        <f t="shared" si="21"/>
        <v>0</v>
      </c>
      <c r="AD20" s="364">
        <v>9000</v>
      </c>
      <c r="AE20" s="79">
        <v>8995</v>
      </c>
      <c r="AF20" s="364">
        <f t="shared" si="22"/>
        <v>5</v>
      </c>
      <c r="AG20" s="77">
        <f t="shared" si="23"/>
        <v>22755</v>
      </c>
      <c r="AH20" s="365">
        <v>9000</v>
      </c>
      <c r="AI20" s="417">
        <v>9000</v>
      </c>
      <c r="AJ20" s="83">
        <f t="shared" si="24"/>
        <v>0</v>
      </c>
      <c r="AK20" s="366">
        <v>9000</v>
      </c>
      <c r="AL20" s="430">
        <v>8980</v>
      </c>
      <c r="AM20" s="425">
        <f t="shared" si="25"/>
        <v>20</v>
      </c>
      <c r="AN20" s="24">
        <v>9000</v>
      </c>
      <c r="AO20" s="482">
        <v>8990</v>
      </c>
      <c r="AP20" s="87">
        <f t="shared" si="26"/>
        <v>10</v>
      </c>
      <c r="AQ20" s="77">
        <f t="shared" si="27"/>
        <v>26970</v>
      </c>
      <c r="AR20" s="380"/>
      <c r="AS20" s="502"/>
      <c r="AT20" s="467">
        <v>12670.1</v>
      </c>
      <c r="AU20" s="469">
        <v>9000</v>
      </c>
      <c r="AV20" s="473">
        <v>5000</v>
      </c>
      <c r="AW20" s="463">
        <f t="shared" si="28"/>
        <v>14000</v>
      </c>
      <c r="AX20" s="364">
        <f t="shared" si="29"/>
        <v>14000</v>
      </c>
      <c r="AY20" s="526">
        <v>12515</v>
      </c>
      <c r="AZ20" s="83">
        <f t="shared" si="8"/>
        <v>1485</v>
      </c>
      <c r="BA20" s="30"/>
      <c r="BB20" s="365"/>
      <c r="BC20" s="461">
        <v>9000</v>
      </c>
      <c r="BD20" s="473">
        <v>5000</v>
      </c>
      <c r="BE20" s="536">
        <f t="shared" si="30"/>
        <v>14000</v>
      </c>
      <c r="BF20" s="83">
        <f t="shared" si="9"/>
        <v>14000</v>
      </c>
      <c r="BG20" s="364">
        <v>5994.92846000001</v>
      </c>
      <c r="BH20" s="471">
        <f t="shared" si="31"/>
        <v>2670.1000000000004</v>
      </c>
      <c r="BI20" s="536">
        <f t="shared" si="32"/>
        <v>8665.02846000001</v>
      </c>
      <c r="BJ20" s="547">
        <f t="shared" si="7"/>
        <v>35180.02846000001</v>
      </c>
      <c r="BK20" s="544">
        <f t="shared" si="33"/>
        <v>99035.02846</v>
      </c>
      <c r="BL20" s="149">
        <f t="shared" si="10"/>
        <v>76370</v>
      </c>
      <c r="BM20" s="87"/>
    </row>
    <row r="21" spans="1:65" s="10" customFormat="1" ht="23.25" customHeight="1">
      <c r="A21" s="64"/>
      <c r="B21" s="126" t="s">
        <v>12</v>
      </c>
      <c r="C21" s="48">
        <v>185230</v>
      </c>
      <c r="D21" s="48">
        <f aca="true" t="shared" si="34" ref="D21:AI21">SUM(D13:D20)</f>
        <v>14747.07</v>
      </c>
      <c r="E21" s="48">
        <f t="shared" si="34"/>
        <v>13560</v>
      </c>
      <c r="F21" s="48">
        <f t="shared" si="34"/>
        <v>1187.0700000000002</v>
      </c>
      <c r="G21" s="48">
        <f t="shared" si="34"/>
        <v>0</v>
      </c>
      <c r="H21" s="48">
        <f t="shared" si="34"/>
        <v>14703.45</v>
      </c>
      <c r="I21" s="48">
        <f t="shared" si="34"/>
        <v>0</v>
      </c>
      <c r="J21" s="48">
        <f t="shared" si="34"/>
        <v>14703.45</v>
      </c>
      <c r="K21" s="48">
        <f t="shared" si="34"/>
        <v>11610</v>
      </c>
      <c r="L21" s="48">
        <f t="shared" si="34"/>
        <v>3093.45</v>
      </c>
      <c r="M21" s="48">
        <f t="shared" si="34"/>
        <v>0</v>
      </c>
      <c r="N21" s="48">
        <f t="shared" si="34"/>
        <v>14703.45</v>
      </c>
      <c r="O21" s="48">
        <f t="shared" si="34"/>
        <v>0</v>
      </c>
      <c r="P21" s="48">
        <f t="shared" si="34"/>
        <v>14703.45</v>
      </c>
      <c r="Q21" s="48">
        <f t="shared" si="34"/>
        <v>13725</v>
      </c>
      <c r="R21" s="48">
        <f t="shared" si="34"/>
        <v>978.4499999999997</v>
      </c>
      <c r="S21" s="48">
        <f t="shared" si="34"/>
        <v>38895</v>
      </c>
      <c r="T21" s="141">
        <f t="shared" si="34"/>
        <v>14851.98</v>
      </c>
      <c r="U21" s="141">
        <f t="shared" si="34"/>
        <v>12640</v>
      </c>
      <c r="V21" s="141">
        <f t="shared" si="34"/>
        <v>2211.9799999999996</v>
      </c>
      <c r="W21" s="348">
        <f t="shared" si="34"/>
        <v>0</v>
      </c>
      <c r="X21" s="348">
        <f t="shared" si="34"/>
        <v>0</v>
      </c>
      <c r="Y21" s="348">
        <f t="shared" si="34"/>
        <v>134357.2</v>
      </c>
      <c r="Z21" s="348">
        <f t="shared" si="34"/>
        <v>17500</v>
      </c>
      <c r="AA21" s="348">
        <f t="shared" si="34"/>
        <v>17500</v>
      </c>
      <c r="AB21" s="348">
        <f t="shared" si="34"/>
        <v>17160</v>
      </c>
      <c r="AC21" s="367">
        <f t="shared" si="34"/>
        <v>340</v>
      </c>
      <c r="AD21" s="382">
        <f t="shared" si="34"/>
        <v>17500</v>
      </c>
      <c r="AE21" s="367">
        <f t="shared" si="34"/>
        <v>17115</v>
      </c>
      <c r="AF21" s="382">
        <f t="shared" si="34"/>
        <v>385</v>
      </c>
      <c r="AG21" s="367">
        <f t="shared" si="34"/>
        <v>46915</v>
      </c>
      <c r="AH21" s="367">
        <f t="shared" si="34"/>
        <v>18220</v>
      </c>
      <c r="AI21" s="367">
        <f t="shared" si="34"/>
        <v>17160</v>
      </c>
      <c r="AJ21" s="367">
        <f aca="true" t="shared" si="35" ref="AJ21:BM21">SUM(AJ13:AJ20)</f>
        <v>1060</v>
      </c>
      <c r="AK21" s="348">
        <f t="shared" si="35"/>
        <v>18220</v>
      </c>
      <c r="AL21" s="348">
        <f t="shared" si="35"/>
        <v>17430</v>
      </c>
      <c r="AM21" s="348">
        <f t="shared" si="35"/>
        <v>790</v>
      </c>
      <c r="AN21" s="348">
        <f t="shared" si="35"/>
        <v>18220</v>
      </c>
      <c r="AO21" s="348">
        <f t="shared" si="35"/>
        <v>16480</v>
      </c>
      <c r="AP21" s="367">
        <f t="shared" si="35"/>
        <v>1740</v>
      </c>
      <c r="AQ21" s="367">
        <f t="shared" si="35"/>
        <v>51070</v>
      </c>
      <c r="AR21" s="348">
        <f t="shared" si="35"/>
        <v>0</v>
      </c>
      <c r="AS21" s="367">
        <f t="shared" si="35"/>
        <v>0</v>
      </c>
      <c r="AT21" s="367">
        <f t="shared" si="35"/>
        <v>24673.11</v>
      </c>
      <c r="AU21" s="382">
        <f t="shared" si="35"/>
        <v>18420</v>
      </c>
      <c r="AV21" s="367">
        <f t="shared" si="35"/>
        <v>7805</v>
      </c>
      <c r="AW21" s="367">
        <f t="shared" si="35"/>
        <v>26225</v>
      </c>
      <c r="AX21" s="348">
        <f t="shared" si="35"/>
        <v>26225</v>
      </c>
      <c r="AY21" s="519">
        <f>SUM(AY13:AY20)</f>
        <v>22845</v>
      </c>
      <c r="AZ21" s="367">
        <f>SUM(AZ13:AZ20)</f>
        <v>3380</v>
      </c>
      <c r="BA21" s="367">
        <f t="shared" si="35"/>
        <v>0</v>
      </c>
      <c r="BB21" s="367">
        <f t="shared" si="35"/>
        <v>0</v>
      </c>
      <c r="BC21" s="382">
        <f t="shared" si="35"/>
        <v>17962.612268</v>
      </c>
      <c r="BD21" s="474">
        <f t="shared" si="35"/>
        <v>8263</v>
      </c>
      <c r="BE21" s="367">
        <f t="shared" si="35"/>
        <v>26225.612268</v>
      </c>
      <c r="BF21" s="367">
        <f t="shared" si="35"/>
        <v>26225.612268</v>
      </c>
      <c r="BG21" s="382">
        <f t="shared" si="35"/>
        <v>8314.581441920014</v>
      </c>
      <c r="BH21" s="474">
        <f t="shared" si="35"/>
        <v>8605.11</v>
      </c>
      <c r="BI21" s="367">
        <f t="shared" si="35"/>
        <v>16919.691441920015</v>
      </c>
      <c r="BJ21" s="546">
        <f t="shared" si="35"/>
        <v>65990.30370992002</v>
      </c>
      <c r="BK21" s="48">
        <f t="shared" si="35"/>
        <v>202870.30370992003</v>
      </c>
      <c r="BL21" s="237">
        <f t="shared" si="35"/>
        <v>159725</v>
      </c>
      <c r="BM21" s="48">
        <f t="shared" si="35"/>
        <v>0</v>
      </c>
    </row>
    <row r="22" spans="1:65" s="10" customFormat="1" ht="20.25" customHeight="1" thickBot="1">
      <c r="A22" s="65"/>
      <c r="B22" s="127" t="s">
        <v>43</v>
      </c>
      <c r="C22" s="49">
        <v>3290376</v>
      </c>
      <c r="D22" s="49">
        <f aca="true" t="shared" si="36" ref="D22:AI22">D12+D21</f>
        <v>200020.08000000002</v>
      </c>
      <c r="E22" s="49">
        <f t="shared" si="36"/>
        <v>257247</v>
      </c>
      <c r="F22" s="151">
        <f t="shared" si="36"/>
        <v>5312.620000000003</v>
      </c>
      <c r="G22" s="49">
        <f t="shared" si="36"/>
        <v>173459</v>
      </c>
      <c r="H22" s="49">
        <f t="shared" si="36"/>
        <v>195979.92</v>
      </c>
      <c r="I22" s="151">
        <f t="shared" si="36"/>
        <v>5312.620000000002</v>
      </c>
      <c r="J22" s="49">
        <f t="shared" si="36"/>
        <v>203238.79</v>
      </c>
      <c r="K22" s="49">
        <f t="shared" si="36"/>
        <v>245921</v>
      </c>
      <c r="L22" s="151">
        <f t="shared" si="36"/>
        <v>3103.814863649889</v>
      </c>
      <c r="M22" s="49">
        <f t="shared" si="36"/>
        <v>170588</v>
      </c>
      <c r="N22" s="49">
        <f t="shared" si="36"/>
        <v>196053.75000000003</v>
      </c>
      <c r="O22" s="151">
        <f t="shared" si="36"/>
        <v>3103.8148636498895</v>
      </c>
      <c r="P22" s="49">
        <f t="shared" si="36"/>
        <v>199186.6248636499</v>
      </c>
      <c r="Q22" s="49">
        <f t="shared" si="36"/>
        <v>367879</v>
      </c>
      <c r="R22" s="151">
        <f t="shared" si="36"/>
        <v>984.321827562543</v>
      </c>
      <c r="S22" s="49">
        <f t="shared" si="36"/>
        <v>871047</v>
      </c>
      <c r="T22" s="142">
        <f t="shared" si="36"/>
        <v>201948.6</v>
      </c>
      <c r="U22" s="142">
        <f t="shared" si="36"/>
        <v>193008</v>
      </c>
      <c r="V22" s="205">
        <f t="shared" si="36"/>
        <v>15540.600000000002</v>
      </c>
      <c r="W22" s="349">
        <f t="shared" si="36"/>
        <v>119625.25</v>
      </c>
      <c r="X22" s="388">
        <f t="shared" si="36"/>
        <v>16524.921827562546</v>
      </c>
      <c r="Y22" s="349">
        <f t="shared" si="36"/>
        <v>1282400</v>
      </c>
      <c r="Z22" s="349">
        <f t="shared" si="36"/>
        <v>193522.34000000003</v>
      </c>
      <c r="AA22" s="349">
        <f t="shared" si="36"/>
        <v>221542.42182756256</v>
      </c>
      <c r="AB22" s="349">
        <f t="shared" si="36"/>
        <v>305711</v>
      </c>
      <c r="AC22" s="151">
        <f t="shared" si="36"/>
        <v>341</v>
      </c>
      <c r="AD22" s="383">
        <f t="shared" si="36"/>
        <v>197340</v>
      </c>
      <c r="AE22" s="368">
        <f t="shared" si="36"/>
        <v>286584</v>
      </c>
      <c r="AF22" s="411">
        <f t="shared" si="36"/>
        <v>389</v>
      </c>
      <c r="AG22" s="368">
        <f t="shared" si="36"/>
        <v>785303</v>
      </c>
      <c r="AH22" s="368">
        <f t="shared" si="36"/>
        <v>184220</v>
      </c>
      <c r="AI22" s="368">
        <f t="shared" si="36"/>
        <v>238730</v>
      </c>
      <c r="AJ22" s="419">
        <f aca="true" t="shared" si="37" ref="AJ22:BM22">AJ12+AJ21</f>
        <v>1067</v>
      </c>
      <c r="AK22" s="349">
        <f t="shared" si="37"/>
        <v>196117</v>
      </c>
      <c r="AL22" s="349">
        <f t="shared" si="37"/>
        <v>293802</v>
      </c>
      <c r="AM22" s="442">
        <f t="shared" si="37"/>
        <v>790</v>
      </c>
      <c r="AN22" s="349">
        <f t="shared" si="37"/>
        <v>197270.37</v>
      </c>
      <c r="AO22" s="349">
        <f t="shared" si="37"/>
        <v>309491</v>
      </c>
      <c r="AP22" s="419">
        <f t="shared" si="37"/>
        <v>1755.369999999999</v>
      </c>
      <c r="AQ22" s="368">
        <f t="shared" si="37"/>
        <v>842023</v>
      </c>
      <c r="AR22" s="349">
        <f t="shared" si="37"/>
        <v>164072.55555555556</v>
      </c>
      <c r="AS22" s="151">
        <f t="shared" si="37"/>
        <v>4342.37</v>
      </c>
      <c r="AT22" s="368">
        <f t="shared" si="37"/>
        <v>297199.99999999994</v>
      </c>
      <c r="AU22" s="383">
        <f t="shared" si="37"/>
        <v>197043</v>
      </c>
      <c r="AV22" s="368">
        <f t="shared" si="37"/>
        <v>45022</v>
      </c>
      <c r="AW22" s="368">
        <f t="shared" si="37"/>
        <v>239782.47</v>
      </c>
      <c r="AX22" s="349">
        <f t="shared" si="37"/>
        <v>195452.38999999998</v>
      </c>
      <c r="AY22" s="520">
        <f>AY12+AY21</f>
        <v>348916</v>
      </c>
      <c r="AZ22" s="419">
        <f>AZ12+AZ21</f>
        <v>3391.0816528595387</v>
      </c>
      <c r="BA22" s="368">
        <f t="shared" si="37"/>
        <v>213008.3</v>
      </c>
      <c r="BB22" s="419">
        <f t="shared" si="37"/>
        <v>3391.0816528595396</v>
      </c>
      <c r="BC22" s="383">
        <f t="shared" si="37"/>
        <v>97382.41502272003</v>
      </c>
      <c r="BD22" s="475">
        <f t="shared" si="37"/>
        <v>122355</v>
      </c>
      <c r="BE22" s="368">
        <f t="shared" si="37"/>
        <v>226200.37502272005</v>
      </c>
      <c r="BF22" s="368">
        <f t="shared" si="37"/>
        <v>229591.4566755796</v>
      </c>
      <c r="BG22" s="383">
        <f t="shared" si="37"/>
        <v>8314.58453192003</v>
      </c>
      <c r="BH22" s="475">
        <f t="shared" si="37"/>
        <v>129823.00000000001</v>
      </c>
      <c r="BI22" s="368">
        <f t="shared" si="37"/>
        <v>180347.07453192</v>
      </c>
      <c r="BJ22" s="368">
        <f t="shared" si="37"/>
        <v>758854.5312074996</v>
      </c>
      <c r="BK22" s="49">
        <f t="shared" si="37"/>
        <v>3257227.5312074996</v>
      </c>
      <c r="BL22" s="143">
        <f t="shared" si="37"/>
        <v>2847289</v>
      </c>
      <c r="BM22" s="49">
        <f t="shared" si="37"/>
        <v>0</v>
      </c>
    </row>
    <row r="23" spans="1:113" s="76" customFormat="1" ht="34.5" customHeight="1" thickBot="1">
      <c r="A23" s="16"/>
      <c r="B23" s="17"/>
      <c r="C23" s="179" t="s">
        <v>39</v>
      </c>
      <c r="D23" s="178"/>
      <c r="E23" s="197">
        <f>-(F6+F7+F11)</f>
        <v>62539.54</v>
      </c>
      <c r="F23" s="135"/>
      <c r="G23" s="131" t="s">
        <v>34</v>
      </c>
      <c r="H23" s="136">
        <f>F22*100/G22</f>
        <v>3.0627525813016345</v>
      </c>
      <c r="I23" s="22"/>
      <c r="J23" s="273" t="s">
        <v>73</v>
      </c>
      <c r="K23" s="274">
        <f>-(L6+L7+L11)</f>
        <v>45786.02486364989</v>
      </c>
      <c r="L23" s="131" t="s">
        <v>34</v>
      </c>
      <c r="M23" s="297">
        <f>L22*100/M22</f>
        <v>1.8194801883191603</v>
      </c>
      <c r="N23" s="257"/>
      <c r="O23" s="257"/>
      <c r="P23" s="257"/>
      <c r="Q23" s="258"/>
      <c r="R23" s="259">
        <f>16871.57+152600+205.12</f>
        <v>169676.69</v>
      </c>
      <c r="S23" s="324" t="s">
        <v>90</v>
      </c>
      <c r="T23" s="323">
        <f>R22</f>
        <v>984.321827562543</v>
      </c>
      <c r="U23" s="273" t="s">
        <v>73</v>
      </c>
      <c r="V23" s="351">
        <f>-(V7)</f>
        <v>6600</v>
      </c>
      <c r="W23" s="356"/>
      <c r="X23" s="356"/>
      <c r="Y23" s="323"/>
      <c r="Z23" s="144"/>
      <c r="AA23" s="273" t="s">
        <v>73</v>
      </c>
      <c r="AB23" s="245">
        <f>-(AC6+AC7+AC11)</f>
        <v>84509.57895299152</v>
      </c>
      <c r="AC23" s="144"/>
      <c r="AD23" s="273" t="s">
        <v>73</v>
      </c>
      <c r="AE23" s="245">
        <f>-(AF6+AF7+AF11)</f>
        <v>89423</v>
      </c>
      <c r="AF23" s="144"/>
      <c r="AG23" s="144"/>
      <c r="AH23" s="144"/>
      <c r="AI23" s="273" t="s">
        <v>73</v>
      </c>
      <c r="AJ23" s="245">
        <f>-(AJ6+AJ7+AJ11)</f>
        <v>55577</v>
      </c>
      <c r="AK23" s="144"/>
      <c r="AL23" s="273" t="s">
        <v>73</v>
      </c>
      <c r="AM23" s="245">
        <f>-(AM6+AM7+AM11)</f>
        <v>98475</v>
      </c>
      <c r="AN23" s="144"/>
      <c r="AO23" s="273" t="s">
        <v>73</v>
      </c>
      <c r="AP23" s="491">
        <f>-(AP6+AP7+AP11)</f>
        <v>113976</v>
      </c>
      <c r="AQ23" s="144"/>
      <c r="AR23" s="144"/>
      <c r="AS23" s="144"/>
      <c r="AT23" s="144"/>
      <c r="AU23" s="144"/>
      <c r="AV23" s="144"/>
      <c r="AW23" s="144"/>
      <c r="AX23" s="144"/>
      <c r="AY23" s="273" t="s">
        <v>73</v>
      </c>
      <c r="AZ23" s="491">
        <f>-(AZ7+AZ8+AZ9+AZ11)</f>
        <v>156854.69010301676</v>
      </c>
      <c r="BA23" s="532"/>
      <c r="BB23" s="532"/>
      <c r="BC23" s="144"/>
      <c r="BD23" s="144"/>
      <c r="BE23" s="144"/>
      <c r="BF23" s="144"/>
      <c r="BG23" s="144"/>
      <c r="BH23" s="144"/>
      <c r="BI23" s="144"/>
      <c r="BJ23" s="144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</row>
    <row r="24" spans="2:64" s="112" customFormat="1" ht="36" customHeight="1" hidden="1" thickBot="1">
      <c r="B24" s="113"/>
      <c r="C24" s="114"/>
      <c r="D24" s="80"/>
      <c r="E24" s="116"/>
      <c r="F24" s="80"/>
      <c r="G24" s="80"/>
      <c r="H24" s="115"/>
      <c r="I24" s="115"/>
      <c r="J24" s="114"/>
      <c r="K24" s="115"/>
      <c r="L24" s="576" t="s">
        <v>47</v>
      </c>
      <c r="M24" s="577"/>
      <c r="N24" s="578"/>
      <c r="O24" s="266"/>
      <c r="P24" s="266"/>
      <c r="Q24" s="253">
        <f>N23+R22</f>
        <v>984.321827562543</v>
      </c>
      <c r="R24" s="192" t="s">
        <v>34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521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229" t="e">
        <f>#REF!+#REF!+#REF!</f>
        <v>#REF!</v>
      </c>
      <c r="BL24" s="80"/>
    </row>
    <row r="25" spans="2:64" s="100" customFormat="1" ht="33" customHeight="1" thickBot="1">
      <c r="B25" s="117"/>
      <c r="C25" s="94"/>
      <c r="D25" s="36"/>
      <c r="E25" s="88"/>
      <c r="F25" s="36"/>
      <c r="G25" s="36"/>
      <c r="H25" s="94"/>
      <c r="I25" s="94"/>
      <c r="J25" s="41"/>
      <c r="K25" s="579"/>
      <c r="L25" s="580"/>
      <c r="M25" s="296"/>
      <c r="N25" s="94"/>
      <c r="O25" s="94"/>
      <c r="P25" s="94"/>
      <c r="Q25" s="94"/>
      <c r="R25" s="94"/>
      <c r="S25" s="89"/>
      <c r="T25" s="581" t="s">
        <v>107</v>
      </c>
      <c r="U25" s="582"/>
      <c r="V25" s="190">
        <f>R22+V22</f>
        <v>16524.921827562546</v>
      </c>
      <c r="W25" s="374" t="s">
        <v>124</v>
      </c>
      <c r="X25" s="387">
        <f>V25*100/W22</f>
        <v>13.813907872763105</v>
      </c>
      <c r="Y25" s="89"/>
      <c r="Z25" s="89"/>
      <c r="AA25" s="89"/>
      <c r="AB25" s="89"/>
      <c r="AC25" s="404"/>
      <c r="AD25" s="190">
        <f>AC22+AF22</f>
        <v>730</v>
      </c>
      <c r="AE25" s="412" t="s">
        <v>134</v>
      </c>
      <c r="AF25" s="413">
        <f>-AF10</f>
        <v>210.00000000000182</v>
      </c>
      <c r="AG25" s="89"/>
      <c r="AH25" s="89"/>
      <c r="AI25" s="89"/>
      <c r="AJ25" s="89"/>
      <c r="AK25" s="89"/>
      <c r="AL25" s="89"/>
      <c r="AM25" s="89"/>
      <c r="AN25" s="89"/>
      <c r="AO25" s="404" t="s">
        <v>171</v>
      </c>
      <c r="AP25" s="498">
        <f>341+389+1067+790+1755.37</f>
        <v>4342.37</v>
      </c>
      <c r="AQ25" s="496" t="s">
        <v>172</v>
      </c>
      <c r="AR25" s="497">
        <f>AP25*100/AR22</f>
        <v>2.6466156910255827</v>
      </c>
      <c r="AS25" s="89"/>
      <c r="AT25" s="89"/>
      <c r="AU25" s="89"/>
      <c r="AV25" s="89"/>
      <c r="AW25" s="88"/>
      <c r="AX25" s="89"/>
      <c r="AY25" s="496" t="s">
        <v>172</v>
      </c>
      <c r="AZ25" s="537">
        <f>AZ22*100/BA22</f>
        <v>1.5919950785295875</v>
      </c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189" t="s">
        <v>41</v>
      </c>
      <c r="BL25" s="448"/>
    </row>
    <row r="26" spans="2:64" s="100" customFormat="1" ht="12.75">
      <c r="B26" s="118"/>
      <c r="C26" s="119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522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8"/>
      <c r="BL26" s="36"/>
    </row>
    <row r="27" spans="2:64" s="100" customFormat="1" ht="12.75">
      <c r="B27" s="89"/>
      <c r="C27" s="41"/>
      <c r="D27" s="36"/>
      <c r="E27" s="88"/>
      <c r="F27" s="36"/>
      <c r="G27" s="36"/>
      <c r="H27" s="94"/>
      <c r="I27" s="94"/>
      <c r="J27" s="41"/>
      <c r="K27" s="94"/>
      <c r="L27" s="94"/>
      <c r="M27" s="94"/>
      <c r="N27" s="94"/>
      <c r="O27" s="94"/>
      <c r="P27" s="94"/>
      <c r="Q27" s="94"/>
      <c r="R27" s="94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16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522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8"/>
      <c r="BL27" s="36"/>
    </row>
    <row r="28" spans="2:64" s="100" customFormat="1" ht="12.75">
      <c r="B28" s="93"/>
      <c r="C28" s="92"/>
      <c r="D28" s="108"/>
      <c r="E28" s="103"/>
      <c r="F28" s="92"/>
      <c r="G28" s="92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52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20"/>
      <c r="BL28" s="121"/>
    </row>
    <row r="29" spans="2:64" s="100" customFormat="1" ht="15.75" customHeight="1">
      <c r="B29" s="93"/>
      <c r="C29" s="92"/>
      <c r="D29" s="108"/>
      <c r="E29" s="252"/>
      <c r="F29" s="108"/>
      <c r="G29" s="108"/>
      <c r="H29" s="109"/>
      <c r="I29" s="109"/>
      <c r="J29" s="92"/>
      <c r="K29" s="109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52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8"/>
    </row>
    <row r="30" spans="2:64" s="100" customFormat="1" ht="15" customHeight="1">
      <c r="B30" s="110"/>
      <c r="C30" s="92"/>
      <c r="D30" s="108"/>
      <c r="E30" s="103"/>
      <c r="F30" s="108"/>
      <c r="G30" s="108"/>
      <c r="H30" s="109"/>
      <c r="I30" s="109"/>
      <c r="J30" s="92"/>
      <c r="K30" s="108"/>
      <c r="L30" s="109"/>
      <c r="M30" s="109"/>
      <c r="N30" s="109"/>
      <c r="O30" s="109"/>
      <c r="P30" s="109"/>
      <c r="Q30" s="109"/>
      <c r="R30" s="109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52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53"/>
      <c r="BL30" s="108"/>
    </row>
    <row r="31" spans="2:64" s="100" customFormat="1" ht="17.25" customHeight="1">
      <c r="B31" s="111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522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103"/>
      <c r="BL31" s="108"/>
    </row>
    <row r="32" spans="2:64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522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8"/>
      <c r="BL32" s="36"/>
    </row>
    <row r="33" spans="2:64" s="100" customFormat="1" ht="25.5" customHeight="1" hidden="1" thickBot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522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8"/>
      <c r="BL33" s="36"/>
    </row>
    <row r="34" spans="2:64" s="100" customFormat="1" ht="25.5" customHeight="1" hidden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52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8"/>
      <c r="BL34" s="36"/>
    </row>
    <row r="35" spans="2:64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522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8"/>
      <c r="BL35" s="36"/>
    </row>
    <row r="36" spans="2:64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522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8"/>
      <c r="BL36" s="36"/>
    </row>
    <row r="37" spans="2:64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522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8"/>
      <c r="BL37" s="36"/>
    </row>
    <row r="38" spans="2:64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522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8"/>
      <c r="BL38" s="36"/>
    </row>
    <row r="39" spans="2:64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52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8"/>
      <c r="BL39" s="36"/>
    </row>
    <row r="40" spans="2:64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522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8"/>
      <c r="BL40" s="36"/>
    </row>
    <row r="41" spans="2:64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522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8"/>
      <c r="BL41" s="36"/>
    </row>
    <row r="42" spans="2:64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522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8"/>
      <c r="BL42" s="36"/>
    </row>
    <row r="43" spans="2:64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522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8"/>
      <c r="BL43" s="36"/>
    </row>
    <row r="44" spans="2:64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522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8"/>
      <c r="BL44" s="36"/>
    </row>
    <row r="45" spans="2:64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522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8"/>
      <c r="BL45" s="36"/>
    </row>
    <row r="46" spans="2:64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52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8"/>
      <c r="BL46" s="36"/>
    </row>
    <row r="47" spans="2:64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52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8"/>
      <c r="BL47" s="36"/>
    </row>
    <row r="48" spans="2:64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522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8"/>
      <c r="BL48" s="36"/>
    </row>
    <row r="49" spans="2:64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522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8"/>
      <c r="BL49" s="36"/>
    </row>
    <row r="50" spans="2:64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522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8"/>
      <c r="BL50" s="36"/>
    </row>
    <row r="51" spans="2:64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522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8"/>
      <c r="BL51" s="36"/>
    </row>
    <row r="52" spans="2:64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522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8"/>
      <c r="BL52" s="36"/>
    </row>
    <row r="53" spans="2:64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522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8"/>
      <c r="BL53" s="36"/>
    </row>
    <row r="54" spans="2:64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522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8"/>
      <c r="BL54" s="36"/>
    </row>
    <row r="55" spans="2:64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522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8"/>
      <c r="BL55" s="36"/>
    </row>
    <row r="56" spans="2:64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522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8"/>
      <c r="BL56" s="36"/>
    </row>
    <row r="57" spans="2:64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522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8"/>
      <c r="BL57" s="36"/>
    </row>
    <row r="58" spans="2:64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522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8"/>
      <c r="BL58" s="36"/>
    </row>
    <row r="59" spans="2:64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522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8"/>
      <c r="BL59" s="36"/>
    </row>
    <row r="60" spans="2:64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522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8"/>
      <c r="BL60" s="36"/>
    </row>
    <row r="61" spans="2:64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522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8"/>
      <c r="BL61" s="36"/>
    </row>
    <row r="62" spans="2:64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522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8"/>
      <c r="BL62" s="36"/>
    </row>
    <row r="63" spans="2:64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52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8"/>
      <c r="BL63" s="36"/>
    </row>
    <row r="64" spans="2:64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52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8"/>
      <c r="BL64" s="36"/>
    </row>
    <row r="65" spans="2:64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52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8"/>
      <c r="BL65" s="36"/>
    </row>
    <row r="66" spans="2:64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522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8"/>
      <c r="BL66" s="36"/>
    </row>
    <row r="67" spans="2:64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522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8"/>
      <c r="BL67" s="36"/>
    </row>
    <row r="68" spans="2:64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522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8"/>
      <c r="BL68" s="36"/>
    </row>
    <row r="69" spans="2:64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522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8"/>
      <c r="BL69" s="36"/>
    </row>
    <row r="70" spans="2:64" s="100" customFormat="1" ht="25.5" customHeight="1">
      <c r="B70" s="89"/>
      <c r="C70" s="41"/>
      <c r="D70" s="36"/>
      <c r="E70" s="88"/>
      <c r="F70" s="36"/>
      <c r="G70" s="36"/>
      <c r="H70" s="94"/>
      <c r="I70" s="94"/>
      <c r="J70" s="41"/>
      <c r="K70" s="94"/>
      <c r="L70" s="94"/>
      <c r="M70" s="94"/>
      <c r="N70" s="94"/>
      <c r="O70" s="94"/>
      <c r="P70" s="94"/>
      <c r="Q70" s="94"/>
      <c r="R70" s="94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522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8"/>
      <c r="BL70" s="36"/>
    </row>
  </sheetData>
  <sheetProtection/>
  <mergeCells count="3">
    <mergeCell ref="L24:N24"/>
    <mergeCell ref="K25:L25"/>
    <mergeCell ref="T25:U25"/>
  </mergeCells>
  <printOptions/>
  <pageMargins left="0.16" right="0.16" top="0.27" bottom="0.21" header="0.17" footer="0.17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32"/>
  <sheetViews>
    <sheetView workbookViewId="0" topLeftCell="A3">
      <pane xSplit="5715" ySplit="1665" topLeftCell="AU17" activePane="bottomRight" state="split"/>
      <selection pane="topLeft" activeCell="BJ31" sqref="BJ31"/>
      <selection pane="topRight" activeCell="AU7" sqref="AU7"/>
      <selection pane="bottomLeft" activeCell="C31" sqref="C31"/>
      <selection pane="bottomRight" activeCell="BJ29" sqref="BJ29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hidden="1" customWidth="1"/>
    <col min="20" max="20" width="8.125" style="28" hidden="1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0.00390625" style="28" hidden="1" customWidth="1"/>
    <col min="26" max="30" width="9.125" style="28" hidden="1" customWidth="1"/>
    <col min="31" max="31" width="9.625" style="28" customWidth="1"/>
    <col min="32" max="33" width="9.125" style="28" hidden="1" customWidth="1"/>
    <col min="34" max="34" width="8.25390625" style="28" hidden="1" customWidth="1"/>
    <col min="35" max="35" width="8.875" style="28" hidden="1" customWidth="1"/>
    <col min="36" max="36" width="9.25390625" style="28" hidden="1" customWidth="1"/>
    <col min="37" max="39" width="9.125" style="28" hidden="1" customWidth="1"/>
    <col min="40" max="40" width="9.125" style="28" customWidth="1"/>
    <col min="41" max="41" width="10.00390625" style="28" customWidth="1"/>
    <col min="42" max="42" width="9.25390625" style="28" customWidth="1"/>
    <col min="43" max="43" width="7.875" style="28" customWidth="1"/>
    <col min="44" max="44" width="9.125" style="28" hidden="1" customWidth="1"/>
    <col min="45" max="45" width="8.625" style="28" hidden="1" customWidth="1"/>
    <col min="46" max="46" width="8.50390625" style="28" hidden="1" customWidth="1"/>
    <col min="47" max="51" width="9.125" style="28" customWidth="1"/>
    <col min="52" max="52" width="7.625" style="28" customWidth="1"/>
    <col min="53" max="53" width="9.50390625" style="28" hidden="1" customWidth="1"/>
    <col min="54" max="54" width="9.125" style="28" hidden="1" customWidth="1"/>
    <col min="55" max="56" width="9.125" style="28" customWidth="1"/>
    <col min="57" max="57" width="7.75390625" style="28" hidden="1" customWidth="1"/>
    <col min="58" max="58" width="9.125" style="28" hidden="1" customWidth="1"/>
    <col min="59" max="59" width="9.125" style="28" bestFit="1" customWidth="1"/>
    <col min="60" max="60" width="9.875" style="28" bestFit="1" customWidth="1"/>
    <col min="61" max="61" width="12.125" style="105" customWidth="1"/>
    <col min="62" max="62" width="11.50390625" style="1" customWidth="1"/>
    <col min="63" max="63" width="9.25390625" style="1" hidden="1" customWidth="1"/>
    <col min="64" max="16384" width="9.00390625" style="1" customWidth="1"/>
  </cols>
  <sheetData>
    <row r="1" spans="1:62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105"/>
      <c r="BJ1" s="139" t="s">
        <v>35</v>
      </c>
    </row>
    <row r="2" ht="10.5" customHeight="1">
      <c r="A2" s="8"/>
    </row>
    <row r="3" spans="1:61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156"/>
    </row>
    <row r="4" spans="1:63" s="9" customFormat="1" ht="57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7" t="s">
        <v>132</v>
      </c>
      <c r="AD4" s="72" t="s">
        <v>133</v>
      </c>
      <c r="AE4" s="357" t="s">
        <v>141</v>
      </c>
      <c r="AF4" s="358" t="s">
        <v>99</v>
      </c>
      <c r="AG4" s="37" t="s">
        <v>136</v>
      </c>
      <c r="AH4" s="72" t="s">
        <v>137</v>
      </c>
      <c r="AI4" s="358" t="s">
        <v>98</v>
      </c>
      <c r="AJ4" s="37" t="s">
        <v>144</v>
      </c>
      <c r="AK4" s="72" t="s">
        <v>145</v>
      </c>
      <c r="AL4" s="358" t="s">
        <v>100</v>
      </c>
      <c r="AM4" s="37" t="s">
        <v>163</v>
      </c>
      <c r="AN4" s="72" t="s">
        <v>164</v>
      </c>
      <c r="AO4" s="357" t="s">
        <v>166</v>
      </c>
      <c r="AP4" s="499" t="s">
        <v>173</v>
      </c>
      <c r="AQ4" s="501" t="s">
        <v>170</v>
      </c>
      <c r="AR4" s="300" t="s">
        <v>153</v>
      </c>
      <c r="AS4" s="358" t="s">
        <v>102</v>
      </c>
      <c r="AT4" s="453" t="s">
        <v>154</v>
      </c>
      <c r="AU4" s="457" t="s">
        <v>155</v>
      </c>
      <c r="AV4" s="503" t="s">
        <v>174</v>
      </c>
      <c r="AW4" s="37" t="s">
        <v>176</v>
      </c>
      <c r="AX4" s="72" t="s">
        <v>177</v>
      </c>
      <c r="AY4" s="499" t="s">
        <v>179</v>
      </c>
      <c r="AZ4" s="530" t="s">
        <v>180</v>
      </c>
      <c r="BA4" s="358" t="s">
        <v>103</v>
      </c>
      <c r="BB4" s="453" t="s">
        <v>154</v>
      </c>
      <c r="BC4" s="457" t="s">
        <v>156</v>
      </c>
      <c r="BD4" s="503" t="s">
        <v>181</v>
      </c>
      <c r="BE4" s="358" t="s">
        <v>104</v>
      </c>
      <c r="BF4" s="453" t="s">
        <v>154</v>
      </c>
      <c r="BG4" s="457" t="s">
        <v>157</v>
      </c>
      <c r="BH4" s="357" t="s">
        <v>158</v>
      </c>
      <c r="BI4" s="225" t="s">
        <v>159</v>
      </c>
      <c r="BJ4" s="219" t="s">
        <v>55</v>
      </c>
      <c r="BK4" s="96" t="s">
        <v>130</v>
      </c>
    </row>
    <row r="5" spans="1:63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 aca="true" t="shared" si="5" ref="AA5:AA11">Y5-Z5</f>
        <v>-433.5425341379887</v>
      </c>
      <c r="AB5" s="345">
        <f>48000-4909.13</f>
        <v>43090.87</v>
      </c>
      <c r="AC5" s="391">
        <v>43459.56</v>
      </c>
      <c r="AD5" s="354">
        <f aca="true" t="shared" si="6" ref="AD5:AD11">AB5-AC5</f>
        <v>-368.68999999999505</v>
      </c>
      <c r="AE5" s="359">
        <f aca="true" t="shared" si="7" ref="AE5:AE11">S5+Z5+AC5</f>
        <v>146013.65</v>
      </c>
      <c r="AF5" s="345">
        <f>48000+4573.76</f>
        <v>52573.76</v>
      </c>
      <c r="AG5" s="391">
        <v>52761</v>
      </c>
      <c r="AH5" s="354">
        <f aca="true" t="shared" si="8" ref="AH5:AH11">AF5-AG5</f>
        <v>-187.23999999999796</v>
      </c>
      <c r="AI5" s="345">
        <f>48000-4573.76+4099.73</f>
        <v>47525.97</v>
      </c>
      <c r="AJ5" s="391">
        <v>47804.35</v>
      </c>
      <c r="AK5" s="354">
        <f aca="true" t="shared" si="9" ref="AK5:AK11">AI5-AJ5</f>
        <v>-278.3799999999974</v>
      </c>
      <c r="AL5" s="345">
        <f>48000-4099.73</f>
        <v>43900.270000000004</v>
      </c>
      <c r="AM5" s="391">
        <v>42159.27</v>
      </c>
      <c r="AN5" s="345">
        <f aca="true" t="shared" si="10" ref="AN5:AN11">AL5-AM5</f>
        <v>1741.0000000000073</v>
      </c>
      <c r="AO5" s="359">
        <f aca="true" t="shared" si="11" ref="AO5:AO11">AG5+AJ5+AM5</f>
        <v>142724.62</v>
      </c>
      <c r="AP5" s="264"/>
      <c r="AQ5" s="264"/>
      <c r="AR5" s="344">
        <v>76617.43</v>
      </c>
      <c r="AS5" s="345">
        <v>48000</v>
      </c>
      <c r="AT5" s="454">
        <v>12000</v>
      </c>
      <c r="AU5" s="458">
        <f>AS5+AT5</f>
        <v>60000</v>
      </c>
      <c r="AV5" s="345">
        <f>AQ5+AU5+5788.24</f>
        <v>65788.24</v>
      </c>
      <c r="AW5" s="391">
        <v>66369.89</v>
      </c>
      <c r="AX5" s="354">
        <f>AW5-AV5</f>
        <v>581.6499999999942</v>
      </c>
      <c r="AY5" s="345">
        <f>(Q5+AE5+AO5+AW5)/10</f>
        <v>50251.778000000006</v>
      </c>
      <c r="AZ5" s="344">
        <f>AY5*AZ16/100</f>
        <v>730.7014406542825</v>
      </c>
      <c r="BA5" s="345">
        <v>31516.14</v>
      </c>
      <c r="BB5" s="454">
        <v>28484</v>
      </c>
      <c r="BC5" s="458">
        <f>BA5+BB5-5788.24</f>
        <v>54211.9</v>
      </c>
      <c r="BD5" s="264">
        <f>AZ5+BC5</f>
        <v>54942.60144065428</v>
      </c>
      <c r="BE5" s="345">
        <v>0</v>
      </c>
      <c r="BF5" s="454">
        <f aca="true" t="shared" si="12" ref="BF5:BF11">AR5-AT5-BB5</f>
        <v>36133.42999999999</v>
      </c>
      <c r="BG5" s="458">
        <f aca="true" t="shared" si="13" ref="BG5:BG11">BE5+BF5</f>
        <v>36133.42999999999</v>
      </c>
      <c r="BH5" s="359">
        <f>AW5+BD5+BG5</f>
        <v>157445.92144065426</v>
      </c>
      <c r="BI5" s="133">
        <f aca="true" t="shared" si="14" ref="BI5:BI11">Q5+AE5+AO5+BH5</f>
        <v>593593.8114406543</v>
      </c>
      <c r="BJ5" s="148">
        <f>Q5+AE5+AO5+AW5</f>
        <v>502517.78</v>
      </c>
      <c r="BK5" s="264"/>
    </row>
    <row r="6" spans="1:63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 t="shared" si="5"/>
        <v>-217.5500000000029</v>
      </c>
      <c r="AB6" s="345">
        <f>35000-227.67</f>
        <v>34772.33</v>
      </c>
      <c r="AC6" s="391">
        <v>34771.13</v>
      </c>
      <c r="AD6" s="345">
        <f t="shared" si="6"/>
        <v>1.2000000000043656</v>
      </c>
      <c r="AE6" s="359">
        <f t="shared" si="7"/>
        <v>105970.06</v>
      </c>
      <c r="AF6" s="345">
        <f>35000+149.84</f>
        <v>35149.84</v>
      </c>
      <c r="AG6" s="391">
        <v>35211.19</v>
      </c>
      <c r="AH6" s="354">
        <f t="shared" si="8"/>
        <v>-61.35000000000582</v>
      </c>
      <c r="AI6" s="345">
        <f>35000-149.84</f>
        <v>34850.16</v>
      </c>
      <c r="AJ6" s="391">
        <v>34744.57</v>
      </c>
      <c r="AK6" s="345">
        <f t="shared" si="9"/>
        <v>105.59000000000378</v>
      </c>
      <c r="AL6" s="345">
        <v>35000</v>
      </c>
      <c r="AM6" s="391">
        <v>34912.91</v>
      </c>
      <c r="AN6" s="345">
        <f t="shared" si="10"/>
        <v>87.08999999999651</v>
      </c>
      <c r="AO6" s="359">
        <f t="shared" si="11"/>
        <v>104868.67000000001</v>
      </c>
      <c r="AP6" s="264"/>
      <c r="AQ6" s="264"/>
      <c r="AR6" s="344">
        <v>55258.73</v>
      </c>
      <c r="AS6" s="345">
        <v>35000</v>
      </c>
      <c r="AT6" s="454">
        <v>5000</v>
      </c>
      <c r="AU6" s="458">
        <f>AS6+AT6</f>
        <v>40000</v>
      </c>
      <c r="AV6" s="345">
        <f>AQ6+AU6</f>
        <v>40000</v>
      </c>
      <c r="AW6" s="391">
        <v>35285.77</v>
      </c>
      <c r="AX6" s="345">
        <f>AV6-AW6</f>
        <v>4714.230000000003</v>
      </c>
      <c r="AY6" s="345"/>
      <c r="AZ6" s="344">
        <v>0</v>
      </c>
      <c r="BA6" s="345">
        <v>23683.13</v>
      </c>
      <c r="BB6" s="454">
        <v>16317</v>
      </c>
      <c r="BC6" s="458">
        <f>BA6+BB6</f>
        <v>40000.130000000005</v>
      </c>
      <c r="BD6" s="264">
        <f>AZ6+BC6</f>
        <v>40000.130000000005</v>
      </c>
      <c r="BE6" s="345">
        <v>0</v>
      </c>
      <c r="BF6" s="454">
        <f t="shared" si="12"/>
        <v>33941.73</v>
      </c>
      <c r="BG6" s="458">
        <f t="shared" si="13"/>
        <v>33941.73</v>
      </c>
      <c r="BH6" s="359">
        <f aca="true" t="shared" si="15" ref="BH6:BH13">AW6+BD6+BG6</f>
        <v>109227.63</v>
      </c>
      <c r="BI6" s="133">
        <f t="shared" si="14"/>
        <v>426852.68000000005</v>
      </c>
      <c r="BJ6" s="90">
        <f aca="true" t="shared" si="16" ref="BJ6:BJ13">Q6+AE6+AO6+AW6</f>
        <v>352910.82000000007</v>
      </c>
      <c r="BK6" s="265"/>
    </row>
    <row r="7" spans="1:63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t="shared" si="5"/>
        <v>-2804.44464150352</v>
      </c>
      <c r="AB7" s="345">
        <f>26000-2305.07</f>
        <v>23694.93</v>
      </c>
      <c r="AC7" s="391">
        <v>24619.66</v>
      </c>
      <c r="AD7" s="354">
        <f t="shared" si="6"/>
        <v>-924.7299999999996</v>
      </c>
      <c r="AE7" s="359">
        <f t="shared" si="7"/>
        <v>82420.51000000001</v>
      </c>
      <c r="AF7" s="345">
        <f>26000+2271.65</f>
        <v>28271.65</v>
      </c>
      <c r="AG7" s="391">
        <v>29076.51</v>
      </c>
      <c r="AH7" s="354">
        <f t="shared" si="8"/>
        <v>-804.859999999997</v>
      </c>
      <c r="AI7" s="345">
        <f>26000-2271.65+2297.33</f>
        <v>26025.68</v>
      </c>
      <c r="AJ7" s="391">
        <v>27912.67</v>
      </c>
      <c r="AK7" s="354">
        <f t="shared" si="9"/>
        <v>-1886.989999999998</v>
      </c>
      <c r="AL7" s="345">
        <f>26000-2297.33</f>
        <v>23702.67</v>
      </c>
      <c r="AM7" s="391">
        <v>26070.96</v>
      </c>
      <c r="AN7" s="354">
        <f t="shared" si="10"/>
        <v>-2368.290000000001</v>
      </c>
      <c r="AO7" s="359">
        <f t="shared" si="11"/>
        <v>83060.13999999998</v>
      </c>
      <c r="AP7" s="345">
        <f>(Q7+AE7+AO7)/9</f>
        <v>28270.022222222222</v>
      </c>
      <c r="AQ7" s="264">
        <f>AP7*AP17/100</f>
        <v>202.75250978250608</v>
      </c>
      <c r="AR7" s="344">
        <v>40870.39</v>
      </c>
      <c r="AS7" s="345">
        <v>26000</v>
      </c>
      <c r="AT7" s="454">
        <v>5000</v>
      </c>
      <c r="AU7" s="458">
        <f>AS7+AT7</f>
        <v>31000</v>
      </c>
      <c r="AV7" s="345">
        <f>AQ7+AU7+3064.03</f>
        <v>34266.782509782504</v>
      </c>
      <c r="AW7" s="391">
        <v>35967.66</v>
      </c>
      <c r="AX7" s="354">
        <f aca="true" t="shared" si="17" ref="AX7:AX13">AW7-AV7</f>
        <v>1700.8774902174991</v>
      </c>
      <c r="AY7" s="345">
        <f>(Q7+AE7+AO7+AW7)/10</f>
        <v>29039.786</v>
      </c>
      <c r="AZ7" s="344">
        <f>AY7*AZ16/100</f>
        <v>422.2619439752373</v>
      </c>
      <c r="BA7" s="345">
        <v>18759.34</v>
      </c>
      <c r="BB7" s="454">
        <v>15000</v>
      </c>
      <c r="BC7" s="458">
        <f>BA7+BB7-3064.03</f>
        <v>30695.309999999998</v>
      </c>
      <c r="BD7" s="264">
        <f aca="true" t="shared" si="18" ref="BD7:BD13">AZ7+BC7</f>
        <v>31117.571943975236</v>
      </c>
      <c r="BE7" s="345">
        <v>0</v>
      </c>
      <c r="BF7" s="454">
        <f t="shared" si="12"/>
        <v>20870.39</v>
      </c>
      <c r="BG7" s="458">
        <f t="shared" si="13"/>
        <v>20870.39</v>
      </c>
      <c r="BH7" s="359">
        <f t="shared" si="15"/>
        <v>87955.62194397523</v>
      </c>
      <c r="BI7" s="133">
        <f t="shared" si="14"/>
        <v>342385.8219439752</v>
      </c>
      <c r="BJ7" s="90">
        <f t="shared" si="16"/>
        <v>290397.86</v>
      </c>
      <c r="BK7" s="265"/>
    </row>
    <row r="8" spans="1:63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5"/>
        <v>-49752.77045819879</v>
      </c>
      <c r="AB8" s="345">
        <v>28000</v>
      </c>
      <c r="AC8" s="391">
        <v>65373.36</v>
      </c>
      <c r="AD8" s="354">
        <f t="shared" si="6"/>
        <v>-37373.36</v>
      </c>
      <c r="AE8" s="359">
        <f t="shared" si="7"/>
        <v>182625.57</v>
      </c>
      <c r="AF8" s="345">
        <f>28000+360.52</f>
        <v>28360.52</v>
      </c>
      <c r="AG8" s="391">
        <v>66645.11</v>
      </c>
      <c r="AH8" s="354">
        <f t="shared" si="8"/>
        <v>-38284.59</v>
      </c>
      <c r="AI8" s="345">
        <f>28000-360.52+1.17</f>
        <v>27640.649999999998</v>
      </c>
      <c r="AJ8" s="391">
        <v>66457.85</v>
      </c>
      <c r="AK8" s="354">
        <f t="shared" si="9"/>
        <v>-38817.20000000001</v>
      </c>
      <c r="AL8" s="345">
        <f>28000-1.17</f>
        <v>27998.83</v>
      </c>
      <c r="AM8" s="391">
        <v>68639.59</v>
      </c>
      <c r="AN8" s="354">
        <f t="shared" si="10"/>
        <v>-40640.759999999995</v>
      </c>
      <c r="AO8" s="359">
        <f t="shared" si="11"/>
        <v>201742.55000000002</v>
      </c>
      <c r="AP8" s="345">
        <f>(Q8+AE8+AO8)/9</f>
        <v>65723.8688888889</v>
      </c>
      <c r="AQ8" s="264">
        <f>AP8*AP17/100</f>
        <v>471.3713793745686</v>
      </c>
      <c r="AR8" s="344">
        <v>44367.66</v>
      </c>
      <c r="AS8" s="345">
        <v>28000</v>
      </c>
      <c r="AT8" s="454">
        <v>7000</v>
      </c>
      <c r="AU8" s="458">
        <f>AS8+AT8</f>
        <v>35000</v>
      </c>
      <c r="AV8" s="345">
        <f>AQ8+AU8</f>
        <v>35471.37137937457</v>
      </c>
      <c r="AW8" s="391">
        <v>78701.57</v>
      </c>
      <c r="AX8" s="354">
        <f t="shared" si="17"/>
        <v>43230.19862062544</v>
      </c>
      <c r="AY8" s="345">
        <f>(Q8+AE8+AO8+AW8)/10</f>
        <v>67021.63900000001</v>
      </c>
      <c r="AZ8" s="344">
        <f>AY8*AZ16/100</f>
        <v>974.5487646688093</v>
      </c>
      <c r="BA8" s="345">
        <v>17025.58</v>
      </c>
      <c r="BB8" s="454">
        <v>17975</v>
      </c>
      <c r="BC8" s="458">
        <f>BA8+BB8</f>
        <v>35000.58</v>
      </c>
      <c r="BD8" s="264">
        <f t="shared" si="18"/>
        <v>35975.128764668814</v>
      </c>
      <c r="BE8" s="345">
        <v>0</v>
      </c>
      <c r="BF8" s="454">
        <f t="shared" si="12"/>
        <v>19392.660000000003</v>
      </c>
      <c r="BG8" s="458">
        <f t="shared" si="13"/>
        <v>19392.660000000003</v>
      </c>
      <c r="BH8" s="359">
        <f t="shared" si="15"/>
        <v>134069.3587646688</v>
      </c>
      <c r="BI8" s="133">
        <f t="shared" si="14"/>
        <v>725584.1787646689</v>
      </c>
      <c r="BJ8" s="90">
        <f t="shared" si="16"/>
        <v>670216.3900000001</v>
      </c>
      <c r="BK8" s="265"/>
    </row>
    <row r="9" spans="1:63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5"/>
        <v>-26775.90566895158</v>
      </c>
      <c r="AB9" s="345">
        <f>68000-1287.76+5196.34</f>
        <v>71908.58</v>
      </c>
      <c r="AC9" s="391">
        <v>100626.87</v>
      </c>
      <c r="AD9" s="354">
        <f t="shared" si="6"/>
        <v>-28718.289999999994</v>
      </c>
      <c r="AE9" s="359">
        <f t="shared" si="7"/>
        <v>266838.64</v>
      </c>
      <c r="AF9" s="345">
        <f>68000-5196.34+3044.85</f>
        <v>65848.51000000001</v>
      </c>
      <c r="AG9" s="391">
        <v>92177.52</v>
      </c>
      <c r="AH9" s="354">
        <f t="shared" si="8"/>
        <v>-26329.009999999995</v>
      </c>
      <c r="AI9" s="345">
        <f>68000-3044.85+5714.3</f>
        <v>70669.45</v>
      </c>
      <c r="AJ9" s="391">
        <v>93247.64</v>
      </c>
      <c r="AK9" s="354">
        <f t="shared" si="9"/>
        <v>-22578.190000000002</v>
      </c>
      <c r="AL9" s="345">
        <f>68000-5714.3+3157.23</f>
        <v>65442.93</v>
      </c>
      <c r="AM9" s="391">
        <v>97791.14</v>
      </c>
      <c r="AN9" s="354">
        <f t="shared" si="10"/>
        <v>-32348.21</v>
      </c>
      <c r="AO9" s="359">
        <f t="shared" si="11"/>
        <v>283216.3</v>
      </c>
      <c r="AP9" s="345">
        <f>(Q9+AE9+AO9)/9</f>
        <v>89079.65999999999</v>
      </c>
      <c r="AQ9" s="264">
        <f>AP9*AP17/100</f>
        <v>638.8790392027001</v>
      </c>
      <c r="AR9" s="344">
        <v>102684.78</v>
      </c>
      <c r="AS9" s="345">
        <v>68000</v>
      </c>
      <c r="AT9" s="454">
        <v>12000</v>
      </c>
      <c r="AU9" s="458">
        <f>AS9+AT9-3157.23</f>
        <v>76842.77</v>
      </c>
      <c r="AV9" s="345">
        <f>AQ9+AU9</f>
        <v>77481.6490392027</v>
      </c>
      <c r="AW9" s="391">
        <v>104672.34</v>
      </c>
      <c r="AX9" s="354">
        <f t="shared" si="17"/>
        <v>27190.690960797292</v>
      </c>
      <c r="AY9" s="345">
        <f>(Q9+AE9+AO9+AW9)/10</f>
        <v>90638.92799999999</v>
      </c>
      <c r="AZ9" s="344">
        <f>AY9*AZ16/100</f>
        <v>1317.9632224945308</v>
      </c>
      <c r="BA9" s="345">
        <v>12667.05</v>
      </c>
      <c r="BB9" s="454">
        <v>50684</v>
      </c>
      <c r="BC9" s="458">
        <f>BA9+BB9</f>
        <v>63351.05</v>
      </c>
      <c r="BD9" s="264">
        <f t="shared" si="18"/>
        <v>64669.013222494534</v>
      </c>
      <c r="BE9" s="345">
        <v>0</v>
      </c>
      <c r="BF9" s="454">
        <f t="shared" si="12"/>
        <v>40000.78</v>
      </c>
      <c r="BG9" s="458">
        <f t="shared" si="13"/>
        <v>40000.78</v>
      </c>
      <c r="BH9" s="359">
        <f t="shared" si="15"/>
        <v>209342.13322249454</v>
      </c>
      <c r="BI9" s="133">
        <f t="shared" si="14"/>
        <v>1011059.0732224945</v>
      </c>
      <c r="BJ9" s="90">
        <f t="shared" si="16"/>
        <v>906389.2799999999</v>
      </c>
      <c r="BK9" s="265"/>
    </row>
    <row r="10" spans="1:63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5"/>
        <v>-242.84820781231247</v>
      </c>
      <c r="AB10" s="345">
        <f>25000+149.2</f>
        <v>25149.2</v>
      </c>
      <c r="AC10" s="391">
        <v>25326.54</v>
      </c>
      <c r="AD10" s="354">
        <f t="shared" si="6"/>
        <v>-177.34000000000015</v>
      </c>
      <c r="AE10" s="359">
        <f t="shared" si="7"/>
        <v>77273.08</v>
      </c>
      <c r="AF10" s="345">
        <f>25000-149.2+427.78</f>
        <v>25278.579999999998</v>
      </c>
      <c r="AG10" s="391">
        <v>25278.58</v>
      </c>
      <c r="AH10" s="264">
        <f t="shared" si="8"/>
        <v>0</v>
      </c>
      <c r="AI10" s="345">
        <f>25000-427.78+728.4</f>
        <v>25300.620000000003</v>
      </c>
      <c r="AJ10" s="391">
        <v>25300.62</v>
      </c>
      <c r="AK10" s="345">
        <f t="shared" si="9"/>
        <v>0</v>
      </c>
      <c r="AL10" s="345">
        <f>25000-728.4+738.25</f>
        <v>25009.85</v>
      </c>
      <c r="AM10" s="391">
        <v>25143.09</v>
      </c>
      <c r="AN10" s="354">
        <f t="shared" si="10"/>
        <v>-133.2400000000016</v>
      </c>
      <c r="AO10" s="359">
        <f t="shared" si="11"/>
        <v>75722.29</v>
      </c>
      <c r="AP10" s="345">
        <f>(Q10+AE10+AO10)/9</f>
        <v>25972.469999999998</v>
      </c>
      <c r="AQ10" s="264">
        <f>AP10*AP17/100</f>
        <v>186.27447252628662</v>
      </c>
      <c r="AR10" s="344">
        <v>37366.37</v>
      </c>
      <c r="AS10" s="345">
        <v>20000</v>
      </c>
      <c r="AT10" s="454">
        <v>2000</v>
      </c>
      <c r="AU10" s="458">
        <f>AS10+AT10-738.25</f>
        <v>21261.75</v>
      </c>
      <c r="AV10" s="345">
        <f>AQ10+AU10+441.14</f>
        <v>21889.164472526285</v>
      </c>
      <c r="AW10" s="391">
        <v>21889.16</v>
      </c>
      <c r="AX10" s="345">
        <f t="shared" si="17"/>
        <v>-0.004472526285098866</v>
      </c>
      <c r="AY10" s="345">
        <f>(Q10+AE10+AO10+AW10)/10</f>
        <v>25564.139</v>
      </c>
      <c r="AZ10" s="344">
        <f>AY10*AZ16/100</f>
        <v>371.72322930317665</v>
      </c>
      <c r="BA10" s="345">
        <v>10828.19</v>
      </c>
      <c r="BB10" s="454">
        <v>15000</v>
      </c>
      <c r="BC10" s="458">
        <f>BA10+BB10-441.14</f>
        <v>25387.050000000003</v>
      </c>
      <c r="BD10" s="264">
        <f t="shared" si="18"/>
        <v>25758.77322930318</v>
      </c>
      <c r="BE10" s="345">
        <v>0</v>
      </c>
      <c r="BF10" s="454">
        <f t="shared" si="12"/>
        <v>20366.370000000003</v>
      </c>
      <c r="BG10" s="458">
        <f t="shared" si="13"/>
        <v>20366.370000000003</v>
      </c>
      <c r="BH10" s="359">
        <f t="shared" si="15"/>
        <v>68014.30322930319</v>
      </c>
      <c r="BI10" s="133">
        <f t="shared" si="14"/>
        <v>301766.5332293032</v>
      </c>
      <c r="BJ10" s="90">
        <f t="shared" si="16"/>
        <v>255641.38999999998</v>
      </c>
      <c r="BK10" s="265"/>
    </row>
    <row r="11" spans="1:63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5"/>
        <v>-198.35848939578864</v>
      </c>
      <c r="AB11" s="345">
        <f>57000-12580.53+34124.63</f>
        <v>78544.1</v>
      </c>
      <c r="AC11" s="391">
        <v>79063.45</v>
      </c>
      <c r="AD11" s="354">
        <f t="shared" si="6"/>
        <v>-519.3499999999913</v>
      </c>
      <c r="AE11" s="359">
        <f t="shared" si="7"/>
        <v>206346.18</v>
      </c>
      <c r="AF11" s="345">
        <f>58780-34124.63+44919.57</f>
        <v>69574.94</v>
      </c>
      <c r="AG11" s="391">
        <v>69916.62</v>
      </c>
      <c r="AH11" s="354">
        <f t="shared" si="8"/>
        <v>-341.679999999993</v>
      </c>
      <c r="AI11" s="345">
        <f>58780-44919.57+54548.71</f>
        <v>68409.14</v>
      </c>
      <c r="AJ11" s="391">
        <v>68930.46</v>
      </c>
      <c r="AK11" s="354">
        <f t="shared" si="9"/>
        <v>-521.320000000007</v>
      </c>
      <c r="AL11" s="345">
        <f>58780-54548.71+27856.83</f>
        <v>32088.120000000003</v>
      </c>
      <c r="AM11" s="391">
        <v>32611.1</v>
      </c>
      <c r="AN11" s="354">
        <f t="shared" si="10"/>
        <v>-522.9799999999959</v>
      </c>
      <c r="AO11" s="359">
        <f t="shared" si="11"/>
        <v>171458.18000000002</v>
      </c>
      <c r="AP11" s="345">
        <f>(Q11+AE11+AO11)/9</f>
        <v>60736.58555555556</v>
      </c>
      <c r="AQ11" s="264">
        <f>AP11*AP17/100</f>
        <v>435.6025991139385</v>
      </c>
      <c r="AR11" s="344">
        <v>85634.64</v>
      </c>
      <c r="AS11" s="345">
        <v>55000</v>
      </c>
      <c r="AT11" s="454">
        <v>22000</v>
      </c>
      <c r="AU11" s="458">
        <f>AS11+AT11-27856.83</f>
        <v>49143.17</v>
      </c>
      <c r="AV11" s="345">
        <f>AQ11+AU11+20567.47</f>
        <v>70146.24259911393</v>
      </c>
      <c r="AW11" s="391">
        <v>70276.9</v>
      </c>
      <c r="AX11" s="354">
        <f t="shared" si="17"/>
        <v>130.65740088606253</v>
      </c>
      <c r="AY11" s="345">
        <f>(Q11+AE11+AO11+AW11)/10</f>
        <v>61690.617000000006</v>
      </c>
      <c r="AZ11" s="344">
        <f>AY11*AZ16/100</f>
        <v>897.0313989039664</v>
      </c>
      <c r="BA11" s="345">
        <v>11780.57</v>
      </c>
      <c r="BB11" s="454">
        <v>43635</v>
      </c>
      <c r="BC11" s="458">
        <f>BA11+BB11-20567.47</f>
        <v>34848.1</v>
      </c>
      <c r="BD11" s="264">
        <f t="shared" si="18"/>
        <v>35745.13139890396</v>
      </c>
      <c r="BE11" s="345">
        <v>0</v>
      </c>
      <c r="BF11" s="454">
        <f t="shared" si="12"/>
        <v>19999.64</v>
      </c>
      <c r="BG11" s="458">
        <f t="shared" si="13"/>
        <v>19999.64</v>
      </c>
      <c r="BH11" s="359">
        <f t="shared" si="15"/>
        <v>126021.67139890396</v>
      </c>
      <c r="BI11" s="133">
        <f t="shared" si="14"/>
        <v>672650.941398904</v>
      </c>
      <c r="BJ11" s="90">
        <f t="shared" si="16"/>
        <v>616906.17</v>
      </c>
      <c r="BK11" s="265"/>
    </row>
    <row r="12" spans="1:63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9" ref="G12:M12">SUM(G5:G11)</f>
        <v>205261.1030769231</v>
      </c>
      <c r="H12" s="44">
        <f t="shared" si="19"/>
        <v>272549.07</v>
      </c>
      <c r="I12" s="44">
        <f t="shared" si="19"/>
        <v>5477.89</v>
      </c>
      <c r="J12" s="44">
        <f t="shared" si="19"/>
        <v>289870.7</v>
      </c>
      <c r="K12" s="44">
        <f t="shared" si="19"/>
        <v>341957.91000000003</v>
      </c>
      <c r="L12" s="44">
        <f t="shared" si="19"/>
        <v>-52087.210000000014</v>
      </c>
      <c r="M12" s="44">
        <f t="shared" si="19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20" ref="U12:Z12">SUM(U5:U11)</f>
        <v>268091.919375</v>
      </c>
      <c r="V12" s="44">
        <f t="shared" si="20"/>
        <v>1063.9400000000023</v>
      </c>
      <c r="W12" s="44">
        <f t="shared" si="20"/>
        <v>1846600</v>
      </c>
      <c r="X12" s="346">
        <f t="shared" si="20"/>
        <v>264743.92</v>
      </c>
      <c r="Y12" s="346">
        <f t="shared" si="20"/>
        <v>287118.02</v>
      </c>
      <c r="Z12" s="346">
        <f t="shared" si="20"/>
        <v>367543.43999999994</v>
      </c>
      <c r="AA12" s="346">
        <v>0</v>
      </c>
      <c r="AB12" s="346">
        <f>SUM(AB5:AB11)</f>
        <v>305160.01</v>
      </c>
      <c r="AC12" s="346">
        <f>SUM(AC5:AC11)</f>
        <v>373240.57</v>
      </c>
      <c r="AD12" s="346">
        <f>AD6</f>
        <v>1.2000000000043656</v>
      </c>
      <c r="AE12" s="423">
        <f>SUM(AE5:AE11)</f>
        <v>1067487.69</v>
      </c>
      <c r="AF12" s="44">
        <f>SUM(AF5:AF11)</f>
        <v>305057.8</v>
      </c>
      <c r="AG12" s="44">
        <f>SUM(AG5:AG11)</f>
        <v>371066.53</v>
      </c>
      <c r="AH12" s="44">
        <v>0</v>
      </c>
      <c r="AI12" s="44">
        <f>SUM(AI5:AI11)</f>
        <v>300421.67</v>
      </c>
      <c r="AJ12" s="44">
        <f>SUM(AJ5:AJ11)</f>
        <v>364398.16000000003</v>
      </c>
      <c r="AK12" s="44">
        <f>AK6</f>
        <v>105.59000000000378</v>
      </c>
      <c r="AL12" s="44">
        <f>SUM(AL5:AL11)</f>
        <v>253142.67</v>
      </c>
      <c r="AM12" s="44">
        <f>SUM(AM5:AM11)</f>
        <v>327328.06</v>
      </c>
      <c r="AN12" s="44">
        <f>AN5+AN6</f>
        <v>1828.0900000000038</v>
      </c>
      <c r="AO12" s="44">
        <f aca="true" t="shared" si="21" ref="AO12:BK12">SUM(AO5:AO11)</f>
        <v>1062792.75</v>
      </c>
      <c r="AP12" s="44">
        <f t="shared" si="21"/>
        <v>269782.6066666667</v>
      </c>
      <c r="AQ12" s="44">
        <f t="shared" si="21"/>
        <v>1934.88</v>
      </c>
      <c r="AR12" s="44">
        <f t="shared" si="21"/>
        <v>442800</v>
      </c>
      <c r="AS12" s="44">
        <f t="shared" si="21"/>
        <v>280000</v>
      </c>
      <c r="AT12" s="44">
        <f t="shared" si="21"/>
        <v>65000</v>
      </c>
      <c r="AU12" s="44">
        <f t="shared" si="21"/>
        <v>313247.69</v>
      </c>
      <c r="AV12" s="44">
        <f t="shared" si="21"/>
        <v>345043.45000000007</v>
      </c>
      <c r="AW12" s="44">
        <f>SUM(AW5:AW11)</f>
        <v>413163.2899999999</v>
      </c>
      <c r="AX12" s="44">
        <f>AX6</f>
        <v>4714.230000000003</v>
      </c>
      <c r="AY12" s="44">
        <f>SUM(AY5:AY11)</f>
        <v>324206.88700000005</v>
      </c>
      <c r="AZ12" s="44">
        <f>SUM(AZ5:AZ11)</f>
        <v>4714.230000000003</v>
      </c>
      <c r="BA12" s="44">
        <f t="shared" si="21"/>
        <v>126260</v>
      </c>
      <c r="BB12" s="44">
        <f t="shared" si="21"/>
        <v>187095</v>
      </c>
      <c r="BC12" s="44">
        <f t="shared" si="21"/>
        <v>283494.11999999994</v>
      </c>
      <c r="BD12" s="44">
        <f t="shared" si="21"/>
        <v>288208.35</v>
      </c>
      <c r="BE12" s="44">
        <f t="shared" si="21"/>
        <v>0</v>
      </c>
      <c r="BF12" s="44">
        <f t="shared" si="21"/>
        <v>190705</v>
      </c>
      <c r="BG12" s="44">
        <f t="shared" si="21"/>
        <v>190705</v>
      </c>
      <c r="BH12" s="44">
        <f t="shared" si="21"/>
        <v>892076.64</v>
      </c>
      <c r="BI12" s="44">
        <f t="shared" si="21"/>
        <v>4073893.04</v>
      </c>
      <c r="BJ12" s="43">
        <f t="shared" si="21"/>
        <v>3594979.69</v>
      </c>
      <c r="BK12" s="228">
        <f t="shared" si="21"/>
        <v>0</v>
      </c>
    </row>
    <row r="13" spans="1:63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>Y13-Z13</f>
        <v>-9840</v>
      </c>
      <c r="AB13" s="345">
        <v>10000</v>
      </c>
      <c r="AC13" s="391">
        <v>20000</v>
      </c>
      <c r="AD13" s="354">
        <f>AB13-AC13</f>
        <v>-10000</v>
      </c>
      <c r="AE13" s="359">
        <f>S13+Z13+AC13</f>
        <v>49760</v>
      </c>
      <c r="AF13" s="345">
        <v>10000</v>
      </c>
      <c r="AG13" s="391">
        <v>16840</v>
      </c>
      <c r="AH13" s="354">
        <f>AF13-AG13</f>
        <v>-6840</v>
      </c>
      <c r="AI13" s="345">
        <v>10000</v>
      </c>
      <c r="AJ13" s="391">
        <v>14800</v>
      </c>
      <c r="AK13" s="354">
        <f>AI13-AJ13</f>
        <v>-4800</v>
      </c>
      <c r="AL13" s="345">
        <v>10000</v>
      </c>
      <c r="AM13" s="391">
        <v>15760</v>
      </c>
      <c r="AN13" s="354">
        <f>AL13-AM13</f>
        <v>-5760</v>
      </c>
      <c r="AO13" s="359">
        <f>AG13+AJ13+AM13</f>
        <v>47400</v>
      </c>
      <c r="AP13" s="264"/>
      <c r="AQ13" s="264"/>
      <c r="AR13" s="344">
        <v>3000</v>
      </c>
      <c r="AS13" s="345">
        <v>10000</v>
      </c>
      <c r="AT13" s="454">
        <v>1000</v>
      </c>
      <c r="AU13" s="458">
        <f>AS13+AT13</f>
        <v>11000</v>
      </c>
      <c r="AV13" s="345">
        <f>AQ13+AU13</f>
        <v>11000</v>
      </c>
      <c r="AW13" s="391">
        <v>16170</v>
      </c>
      <c r="AX13" s="354">
        <f t="shared" si="17"/>
        <v>5170</v>
      </c>
      <c r="AY13" s="264"/>
      <c r="AZ13" s="264"/>
      <c r="BA13" s="345">
        <v>10000</v>
      </c>
      <c r="BB13" s="454">
        <v>1000</v>
      </c>
      <c r="BC13" s="458">
        <f>BA13+BB13</f>
        <v>11000</v>
      </c>
      <c r="BD13" s="264">
        <f t="shared" si="18"/>
        <v>11000</v>
      </c>
      <c r="BE13" s="345">
        <v>7000</v>
      </c>
      <c r="BF13" s="454">
        <f>AR13-AT13-BB13</f>
        <v>1000</v>
      </c>
      <c r="BG13" s="458">
        <f>BE13+BF13</f>
        <v>8000</v>
      </c>
      <c r="BH13" s="359">
        <f t="shared" si="15"/>
        <v>35170</v>
      </c>
      <c r="BI13" s="133">
        <f>Q13+AE13+AO13+BH13</f>
        <v>176260</v>
      </c>
      <c r="BJ13" s="90">
        <f t="shared" si="16"/>
        <v>157260</v>
      </c>
      <c r="BK13" s="265"/>
    </row>
    <row r="14" spans="1:63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22" ref="G14:M14">SUM(G13:G13)</f>
        <v>0</v>
      </c>
      <c r="H14" s="50">
        <f t="shared" si="22"/>
        <v>10000</v>
      </c>
      <c r="I14" s="50">
        <f t="shared" si="22"/>
        <v>0</v>
      </c>
      <c r="J14" s="50">
        <f t="shared" si="22"/>
        <v>10000</v>
      </c>
      <c r="K14" s="50">
        <f t="shared" si="22"/>
        <v>15600</v>
      </c>
      <c r="L14" s="50">
        <f t="shared" si="22"/>
        <v>-5600</v>
      </c>
      <c r="M14" s="50">
        <f t="shared" si="22"/>
        <v>10000</v>
      </c>
      <c r="N14" s="50"/>
      <c r="O14" s="50">
        <f>SUM(O13:O13)</f>
        <v>15960</v>
      </c>
      <c r="P14" s="50">
        <v>0</v>
      </c>
      <c r="Q14" s="187">
        <f aca="true" t="shared" si="23" ref="Q14:Z14">SUM(Q13:Q13)</f>
        <v>43930</v>
      </c>
      <c r="R14" s="187">
        <f t="shared" si="23"/>
        <v>10000</v>
      </c>
      <c r="S14" s="187">
        <f t="shared" si="23"/>
        <v>9920</v>
      </c>
      <c r="T14" s="187">
        <f t="shared" si="23"/>
        <v>80</v>
      </c>
      <c r="U14" s="50">
        <f t="shared" si="23"/>
        <v>0</v>
      </c>
      <c r="V14" s="50">
        <f t="shared" si="23"/>
        <v>0</v>
      </c>
      <c r="W14" s="50">
        <f t="shared" si="23"/>
        <v>77000</v>
      </c>
      <c r="X14" s="50">
        <f t="shared" si="23"/>
        <v>10000</v>
      </c>
      <c r="Y14" s="50">
        <f t="shared" si="23"/>
        <v>10000</v>
      </c>
      <c r="Z14" s="50">
        <f t="shared" si="23"/>
        <v>19840</v>
      </c>
      <c r="AA14" s="50">
        <v>0</v>
      </c>
      <c r="AB14" s="50">
        <f>SUM(AB13:AB13)</f>
        <v>10000</v>
      </c>
      <c r="AC14" s="50">
        <f>SUM(AC13:AC13)</f>
        <v>20000</v>
      </c>
      <c r="AD14" s="50"/>
      <c r="AE14" s="50">
        <f>SUM(AE13:AE13)</f>
        <v>49760</v>
      </c>
      <c r="AF14" s="50">
        <f>SUM(AF13:AF13)</f>
        <v>10000</v>
      </c>
      <c r="AG14" s="50">
        <f>SUM(AG13:AG13)</f>
        <v>16840</v>
      </c>
      <c r="AH14" s="50">
        <v>0</v>
      </c>
      <c r="AI14" s="50">
        <f>SUM(AI13:AI13)</f>
        <v>10000</v>
      </c>
      <c r="AJ14" s="50">
        <f>SUM(AJ13:AJ13)</f>
        <v>14800</v>
      </c>
      <c r="AK14" s="50">
        <v>0</v>
      </c>
      <c r="AL14" s="50">
        <f>SUM(AL13:AL13)</f>
        <v>10000</v>
      </c>
      <c r="AM14" s="50">
        <f>SUM(AM13:AM13)</f>
        <v>15760</v>
      </c>
      <c r="AN14" s="50">
        <v>0</v>
      </c>
      <c r="AO14" s="50">
        <f aca="true" t="shared" si="24" ref="AO14:BK14">SUM(AO13:AO13)</f>
        <v>47400</v>
      </c>
      <c r="AP14" s="50">
        <f t="shared" si="24"/>
        <v>0</v>
      </c>
      <c r="AQ14" s="50">
        <f t="shared" si="24"/>
        <v>0</v>
      </c>
      <c r="AR14" s="50">
        <f t="shared" si="24"/>
        <v>3000</v>
      </c>
      <c r="AS14" s="50">
        <f t="shared" si="24"/>
        <v>10000</v>
      </c>
      <c r="AT14" s="50">
        <f t="shared" si="24"/>
        <v>1000</v>
      </c>
      <c r="AU14" s="50">
        <f t="shared" si="24"/>
        <v>11000</v>
      </c>
      <c r="AV14" s="50">
        <f t="shared" si="24"/>
        <v>11000</v>
      </c>
      <c r="AW14" s="50">
        <f>SUM(AW13:AW13)</f>
        <v>16170</v>
      </c>
      <c r="AX14" s="50">
        <v>0</v>
      </c>
      <c r="AY14" s="527"/>
      <c r="AZ14" s="50">
        <f t="shared" si="24"/>
        <v>0</v>
      </c>
      <c r="BA14" s="50">
        <f t="shared" si="24"/>
        <v>10000</v>
      </c>
      <c r="BB14" s="50">
        <f t="shared" si="24"/>
        <v>1000</v>
      </c>
      <c r="BC14" s="50">
        <f t="shared" si="24"/>
        <v>11000</v>
      </c>
      <c r="BD14" s="50">
        <f t="shared" si="24"/>
        <v>11000</v>
      </c>
      <c r="BE14" s="50">
        <f t="shared" si="24"/>
        <v>7000</v>
      </c>
      <c r="BF14" s="50">
        <f t="shared" si="24"/>
        <v>1000</v>
      </c>
      <c r="BG14" s="50">
        <f t="shared" si="24"/>
        <v>8000</v>
      </c>
      <c r="BH14" s="50">
        <f t="shared" si="24"/>
        <v>35170</v>
      </c>
      <c r="BI14" s="50">
        <f t="shared" si="24"/>
        <v>176260</v>
      </c>
      <c r="BJ14" s="50">
        <f t="shared" si="24"/>
        <v>157260</v>
      </c>
      <c r="BK14" s="50">
        <f t="shared" si="24"/>
        <v>0</v>
      </c>
    </row>
    <row r="15" spans="1:63" s="168" customFormat="1" ht="28.5" customHeight="1" thickBot="1">
      <c r="A15" s="166"/>
      <c r="B15" s="167" t="s">
        <v>4</v>
      </c>
      <c r="C15" s="43">
        <v>3643654.47</v>
      </c>
      <c r="D15" s="43">
        <f aca="true" t="shared" si="25" ref="D15:M15">D12+D14</f>
        <v>311450.93</v>
      </c>
      <c r="E15" s="43">
        <f t="shared" si="25"/>
        <v>346131.38999999996</v>
      </c>
      <c r="F15" s="35">
        <f t="shared" si="25"/>
        <v>5477.889999999999</v>
      </c>
      <c r="G15" s="43">
        <f t="shared" si="25"/>
        <v>205261.1030769231</v>
      </c>
      <c r="H15" s="43">
        <f t="shared" si="25"/>
        <v>282549.07</v>
      </c>
      <c r="I15" s="35">
        <f t="shared" si="25"/>
        <v>5477.89</v>
      </c>
      <c r="J15" s="43">
        <f t="shared" si="25"/>
        <v>299870.7</v>
      </c>
      <c r="K15" s="43">
        <f t="shared" si="25"/>
        <v>357557.91000000003</v>
      </c>
      <c r="L15" s="267">
        <f t="shared" si="25"/>
        <v>-57687.210000000014</v>
      </c>
      <c r="M15" s="43">
        <f t="shared" si="25"/>
        <v>288556.69</v>
      </c>
      <c r="N15" s="43"/>
      <c r="O15" s="43">
        <f aca="true" t="shared" si="26" ref="O15:BK15">O12+O14</f>
        <v>391776.66000000003</v>
      </c>
      <c r="P15" s="140">
        <f t="shared" si="26"/>
        <v>1.7300000000032014</v>
      </c>
      <c r="Q15" s="228">
        <f t="shared" si="26"/>
        <v>1095465.96</v>
      </c>
      <c r="R15" s="106">
        <f t="shared" si="26"/>
        <v>318855.64999999997</v>
      </c>
      <c r="S15" s="106">
        <f t="shared" si="26"/>
        <v>336623.68</v>
      </c>
      <c r="T15" s="140">
        <f t="shared" si="26"/>
        <v>1062.2099999999991</v>
      </c>
      <c r="U15" s="43">
        <f t="shared" si="26"/>
        <v>268091.919375</v>
      </c>
      <c r="V15" s="376">
        <f t="shared" si="26"/>
        <v>1063.9400000000023</v>
      </c>
      <c r="W15" s="43">
        <f t="shared" si="26"/>
        <v>1923600</v>
      </c>
      <c r="X15" s="43">
        <f t="shared" si="26"/>
        <v>274743.92</v>
      </c>
      <c r="Y15" s="43">
        <f t="shared" si="26"/>
        <v>297118.02</v>
      </c>
      <c r="Z15" s="43">
        <f t="shared" si="26"/>
        <v>387383.43999999994</v>
      </c>
      <c r="AA15" s="267">
        <f t="shared" si="26"/>
        <v>0</v>
      </c>
      <c r="AB15" s="43">
        <f t="shared" si="26"/>
        <v>315160.01</v>
      </c>
      <c r="AC15" s="43">
        <f t="shared" si="26"/>
        <v>393240.57</v>
      </c>
      <c r="AD15" s="140">
        <f t="shared" si="26"/>
        <v>1.2000000000043656</v>
      </c>
      <c r="AE15" s="228">
        <f t="shared" si="26"/>
        <v>1117247.69</v>
      </c>
      <c r="AF15" s="43">
        <f t="shared" si="26"/>
        <v>315057.8</v>
      </c>
      <c r="AG15" s="43">
        <f t="shared" si="26"/>
        <v>387906.53</v>
      </c>
      <c r="AH15" s="140">
        <f t="shared" si="26"/>
        <v>0</v>
      </c>
      <c r="AI15" s="43">
        <f t="shared" si="26"/>
        <v>310421.67</v>
      </c>
      <c r="AJ15" s="43">
        <f t="shared" si="26"/>
        <v>379198.16000000003</v>
      </c>
      <c r="AK15" s="140">
        <f t="shared" si="26"/>
        <v>105.59000000000378</v>
      </c>
      <c r="AL15" s="43">
        <f t="shared" si="26"/>
        <v>263142.67000000004</v>
      </c>
      <c r="AM15" s="43">
        <f t="shared" si="26"/>
        <v>343088.06</v>
      </c>
      <c r="AN15" s="140">
        <f t="shared" si="26"/>
        <v>1828.0900000000038</v>
      </c>
      <c r="AO15" s="43">
        <f t="shared" si="26"/>
        <v>1110192.75</v>
      </c>
      <c r="AP15" s="43">
        <f t="shared" si="26"/>
        <v>269782.6066666667</v>
      </c>
      <c r="AQ15" s="35">
        <f t="shared" si="26"/>
        <v>1934.88</v>
      </c>
      <c r="AR15" s="43">
        <f t="shared" si="26"/>
        <v>445800</v>
      </c>
      <c r="AS15" s="43">
        <f t="shared" si="26"/>
        <v>290000</v>
      </c>
      <c r="AT15" s="43">
        <f t="shared" si="26"/>
        <v>66000</v>
      </c>
      <c r="AU15" s="43">
        <f t="shared" si="26"/>
        <v>324247.69</v>
      </c>
      <c r="AV15" s="43">
        <f t="shared" si="26"/>
        <v>356043.45000000007</v>
      </c>
      <c r="AW15" s="43">
        <f>AW12+AW14</f>
        <v>429333.2899999999</v>
      </c>
      <c r="AX15" s="140">
        <f>AX12+AX14</f>
        <v>4714.230000000003</v>
      </c>
      <c r="AY15" s="528">
        <f>AY12</f>
        <v>324206.88700000005</v>
      </c>
      <c r="AZ15" s="140">
        <f t="shared" si="26"/>
        <v>4714.230000000003</v>
      </c>
      <c r="BA15" s="43">
        <f t="shared" si="26"/>
        <v>136260</v>
      </c>
      <c r="BB15" s="43">
        <f t="shared" si="26"/>
        <v>188095</v>
      </c>
      <c r="BC15" s="43">
        <f t="shared" si="26"/>
        <v>294494.11999999994</v>
      </c>
      <c r="BD15" s="43">
        <f t="shared" si="26"/>
        <v>299208.35</v>
      </c>
      <c r="BE15" s="43">
        <f t="shared" si="26"/>
        <v>7000</v>
      </c>
      <c r="BF15" s="43">
        <f t="shared" si="26"/>
        <v>191705</v>
      </c>
      <c r="BG15" s="43">
        <f t="shared" si="26"/>
        <v>198705</v>
      </c>
      <c r="BH15" s="43">
        <f t="shared" si="26"/>
        <v>927246.64</v>
      </c>
      <c r="BI15" s="43">
        <f t="shared" si="26"/>
        <v>4250153.04</v>
      </c>
      <c r="BJ15" s="43">
        <f t="shared" si="26"/>
        <v>3752239.69</v>
      </c>
      <c r="BK15" s="228">
        <f t="shared" si="26"/>
        <v>0</v>
      </c>
    </row>
    <row r="16" spans="1:62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S19*100/U15</f>
        <v>0.3968564224092822</v>
      </c>
      <c r="W16" s="144"/>
      <c r="X16" s="144"/>
      <c r="Y16" s="144"/>
      <c r="Z16" s="402" t="s">
        <v>64</v>
      </c>
      <c r="AA16" s="403">
        <f>-(AA15)</f>
        <v>0</v>
      </c>
      <c r="AB16" s="144"/>
      <c r="AC16" s="402" t="s">
        <v>64</v>
      </c>
      <c r="AD16" s="403">
        <f>-(AD5+AD7+AD8+AD9+AD10+AD11+AD13)</f>
        <v>78081.75999999998</v>
      </c>
      <c r="AE16" s="144"/>
      <c r="AF16" s="144"/>
      <c r="AG16" s="402" t="s">
        <v>64</v>
      </c>
      <c r="AH16" s="403">
        <f>-(AH5+AH6+AH7+AH8+AH9+AH11+AH13)</f>
        <v>72848.72999999998</v>
      </c>
      <c r="AI16" s="144"/>
      <c r="AJ16" s="402" t="s">
        <v>64</v>
      </c>
      <c r="AK16" s="403">
        <f>-(AK5+AK7+AK8+AK9+AK11+AK13)-83.06</f>
        <v>68799.02000000002</v>
      </c>
      <c r="AL16" s="170"/>
      <c r="AM16" s="402" t="s">
        <v>64</v>
      </c>
      <c r="AN16" s="403">
        <f>-(AN7+AN8+AN9+AN10+AN11+AN13)</f>
        <v>81773.48</v>
      </c>
      <c r="AO16" s="486"/>
      <c r="AP16" s="486"/>
      <c r="AQ16" s="486"/>
      <c r="AR16" s="486"/>
      <c r="AS16" s="487"/>
      <c r="AT16" s="31"/>
      <c r="AU16" s="31"/>
      <c r="AV16" s="31"/>
      <c r="AW16" s="402" t="s">
        <v>64</v>
      </c>
      <c r="AX16" s="403">
        <f>AX5+AX7+AX8+AX9+AX11+AX13</f>
        <v>78004.07447252629</v>
      </c>
      <c r="AY16" s="404" t="s">
        <v>172</v>
      </c>
      <c r="AZ16" s="529">
        <f>AX15*100/AY15</f>
        <v>1.454080770344648</v>
      </c>
      <c r="BA16" s="144"/>
      <c r="BB16" s="144"/>
      <c r="BC16" s="144"/>
      <c r="BD16" s="144"/>
      <c r="BE16" s="144"/>
      <c r="BF16" s="144"/>
      <c r="BG16" s="144"/>
      <c r="BH16" s="144"/>
      <c r="BI16" s="272"/>
      <c r="BJ16" s="230"/>
    </row>
    <row r="17" spans="1:62" s="42" customFormat="1" ht="25.5" customHeight="1" thickBot="1">
      <c r="A17" s="29"/>
      <c r="B17" s="40"/>
      <c r="C17" s="504"/>
      <c r="D17" s="144"/>
      <c r="E17" s="505"/>
      <c r="F17" s="270"/>
      <c r="G17" s="506"/>
      <c r="H17" s="31"/>
      <c r="I17" s="31"/>
      <c r="J17" s="296"/>
      <c r="K17" s="296"/>
      <c r="L17" s="507"/>
      <c r="M17" s="269"/>
      <c r="N17" s="269"/>
      <c r="O17" s="270"/>
      <c r="P17" s="356"/>
      <c r="Q17" s="144"/>
      <c r="R17" s="508"/>
      <c r="S17" s="508"/>
      <c r="T17" s="356"/>
      <c r="U17" s="356"/>
      <c r="V17" s="509"/>
      <c r="W17" s="144"/>
      <c r="X17" s="144"/>
      <c r="Y17" s="144"/>
      <c r="Z17" s="144"/>
      <c r="AA17" s="76"/>
      <c r="AB17" s="144"/>
      <c r="AC17" s="144"/>
      <c r="AD17" s="76"/>
      <c r="AE17" s="144"/>
      <c r="AF17" s="144"/>
      <c r="AG17" s="144"/>
      <c r="AH17" s="76"/>
      <c r="AI17" s="144"/>
      <c r="AJ17" s="144"/>
      <c r="AK17" s="76"/>
      <c r="AL17" s="144"/>
      <c r="AM17" s="404" t="s">
        <v>171</v>
      </c>
      <c r="AN17" s="498">
        <f>1.2+105.59+1828.09</f>
        <v>1934.8799999999999</v>
      </c>
      <c r="AO17" s="496" t="s">
        <v>172</v>
      </c>
      <c r="AP17" s="497">
        <f>AN17*100/AP15</f>
        <v>0.7171996830732181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144"/>
      <c r="BB17" s="144"/>
      <c r="BC17" s="144"/>
      <c r="BD17" s="144"/>
      <c r="BE17" s="144"/>
      <c r="BF17" s="144"/>
      <c r="BG17" s="144"/>
      <c r="BH17" s="144"/>
      <c r="BI17" s="272"/>
      <c r="BJ17" s="230"/>
    </row>
    <row r="18" spans="1:62" s="42" customFormat="1" ht="25.5" customHeight="1" thickBot="1">
      <c r="A18" s="29"/>
      <c r="B18" s="40"/>
      <c r="C18" s="504"/>
      <c r="D18" s="144"/>
      <c r="E18" s="505"/>
      <c r="F18" s="270"/>
      <c r="G18" s="506"/>
      <c r="H18" s="31"/>
      <c r="I18" s="31"/>
      <c r="J18" s="296"/>
      <c r="K18" s="296"/>
      <c r="L18" s="507"/>
      <c r="M18" s="269"/>
      <c r="N18" s="269"/>
      <c r="O18" s="270"/>
      <c r="P18" s="356"/>
      <c r="Q18" s="144"/>
      <c r="R18" s="508"/>
      <c r="S18" s="508"/>
      <c r="T18" s="356"/>
      <c r="U18" s="356"/>
      <c r="V18" s="509"/>
      <c r="W18" s="144"/>
      <c r="X18" s="144"/>
      <c r="Y18" s="144"/>
      <c r="Z18" s="144"/>
      <c r="AA18" s="76"/>
      <c r="AB18" s="144"/>
      <c r="AC18" s="144"/>
      <c r="AD18" s="76"/>
      <c r="AE18" s="144"/>
      <c r="AF18" s="144"/>
      <c r="AG18" s="144"/>
      <c r="AH18" s="76"/>
      <c r="AI18" s="144"/>
      <c r="AJ18" s="144"/>
      <c r="AK18" s="76"/>
      <c r="AL18" s="144"/>
      <c r="AM18" s="144"/>
      <c r="AN18" s="76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144"/>
      <c r="BB18" s="144"/>
      <c r="BC18" s="144"/>
      <c r="BD18" s="144"/>
      <c r="BE18" s="144"/>
      <c r="BF18" s="144"/>
      <c r="BG18" s="144"/>
      <c r="BH18" s="144"/>
      <c r="BI18" s="272"/>
      <c r="BJ18" s="230"/>
    </row>
    <row r="19" spans="1:110" s="42" customFormat="1" ht="18.75" customHeight="1" thickBot="1">
      <c r="A19" s="29"/>
      <c r="B19" s="40"/>
      <c r="C19" s="66"/>
      <c r="D19" s="31"/>
      <c r="E19" s="41"/>
      <c r="F19" s="31"/>
      <c r="G19" s="31"/>
      <c r="H19" s="31"/>
      <c r="I19" s="31"/>
      <c r="J19" s="555"/>
      <c r="K19" s="555"/>
      <c r="L19" s="31"/>
      <c r="M19" s="31"/>
      <c r="N19" s="31"/>
      <c r="O19" s="278"/>
      <c r="P19" s="31"/>
      <c r="Q19" s="581" t="s">
        <v>106</v>
      </c>
      <c r="R19" s="582"/>
      <c r="S19" s="353">
        <f>P15+T15</f>
        <v>1063.9400000000023</v>
      </c>
      <c r="BI19" s="226"/>
      <c r="BJ19" s="226"/>
      <c r="BK19" s="226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</row>
    <row r="20" spans="2:63" s="28" customFormat="1" ht="52.5" customHeight="1" thickBot="1">
      <c r="B20" s="57" t="s">
        <v>16</v>
      </c>
      <c r="C20" s="176" t="s">
        <v>51</v>
      </c>
      <c r="D20" s="18" t="s">
        <v>52</v>
      </c>
      <c r="E20" s="37" t="s">
        <v>18</v>
      </c>
      <c r="F20" s="72" t="s">
        <v>53</v>
      </c>
      <c r="G20" s="129" t="s">
        <v>33</v>
      </c>
      <c r="H20" s="18" t="s">
        <v>54</v>
      </c>
      <c r="I20" s="130" t="s">
        <v>56</v>
      </c>
      <c r="J20" s="132" t="s">
        <v>57</v>
      </c>
      <c r="K20" s="37" t="s">
        <v>19</v>
      </c>
      <c r="L20" s="72" t="s">
        <v>37</v>
      </c>
      <c r="M20" s="19" t="s">
        <v>84</v>
      </c>
      <c r="N20" s="300" t="s">
        <v>77</v>
      </c>
      <c r="O20" s="299" t="s">
        <v>32</v>
      </c>
      <c r="P20" s="72" t="s">
        <v>49</v>
      </c>
      <c r="Q20" s="185" t="s">
        <v>58</v>
      </c>
      <c r="R20" s="311" t="s">
        <v>86</v>
      </c>
      <c r="S20" s="37" t="s">
        <v>95</v>
      </c>
      <c r="T20" s="72" t="s">
        <v>96</v>
      </c>
      <c r="U20" s="372"/>
      <c r="V20" s="390" t="s">
        <v>122</v>
      </c>
      <c r="W20" s="334" t="s">
        <v>97</v>
      </c>
      <c r="X20" s="311" t="s">
        <v>88</v>
      </c>
      <c r="Y20" s="377" t="s">
        <v>123</v>
      </c>
      <c r="Z20" s="37" t="s">
        <v>127</v>
      </c>
      <c r="AA20" s="72" t="s">
        <v>128</v>
      </c>
      <c r="AB20" s="311" t="s">
        <v>89</v>
      </c>
      <c r="AC20" s="37" t="s">
        <v>132</v>
      </c>
      <c r="AD20" s="72" t="s">
        <v>133</v>
      </c>
      <c r="AE20" s="185" t="s">
        <v>87</v>
      </c>
      <c r="AF20" s="358" t="s">
        <v>99</v>
      </c>
      <c r="AG20" s="37" t="s">
        <v>136</v>
      </c>
      <c r="AH20" s="72" t="s">
        <v>137</v>
      </c>
      <c r="AI20" s="358" t="s">
        <v>98</v>
      </c>
      <c r="AJ20" s="37" t="s">
        <v>144</v>
      </c>
      <c r="AK20" s="72" t="s">
        <v>145</v>
      </c>
      <c r="AL20" s="311" t="s">
        <v>113</v>
      </c>
      <c r="AM20" s="37" t="s">
        <v>163</v>
      </c>
      <c r="AN20" s="72" t="s">
        <v>164</v>
      </c>
      <c r="AO20" s="357" t="s">
        <v>166</v>
      </c>
      <c r="AP20" s="130"/>
      <c r="AQ20" s="501" t="s">
        <v>170</v>
      </c>
      <c r="AR20" s="300" t="s">
        <v>153</v>
      </c>
      <c r="AS20" s="358" t="s">
        <v>102</v>
      </c>
      <c r="AT20" s="453" t="s">
        <v>154</v>
      </c>
      <c r="AU20" s="457" t="s">
        <v>155</v>
      </c>
      <c r="AV20" s="503" t="s">
        <v>174</v>
      </c>
      <c r="AW20" s="37" t="s">
        <v>176</v>
      </c>
      <c r="AX20" s="72" t="s">
        <v>177</v>
      </c>
      <c r="AY20" s="372"/>
      <c r="AZ20" s="530" t="s">
        <v>180</v>
      </c>
      <c r="BA20" s="358" t="s">
        <v>103</v>
      </c>
      <c r="BB20" s="453" t="s">
        <v>154</v>
      </c>
      <c r="BC20" s="457" t="s">
        <v>156</v>
      </c>
      <c r="BD20" s="503" t="s">
        <v>181</v>
      </c>
      <c r="BE20" s="358" t="s">
        <v>104</v>
      </c>
      <c r="BF20" s="453" t="s">
        <v>154</v>
      </c>
      <c r="BG20" s="457" t="s">
        <v>182</v>
      </c>
      <c r="BH20" s="357" t="s">
        <v>158</v>
      </c>
      <c r="BI20" s="225" t="s">
        <v>159</v>
      </c>
      <c r="BJ20" s="219" t="s">
        <v>55</v>
      </c>
      <c r="BK20" s="96" t="s">
        <v>130</v>
      </c>
    </row>
    <row r="21" spans="2:63" s="28" customFormat="1" ht="27.75" customHeight="1" thickBot="1">
      <c r="B21" s="58" t="s">
        <v>13</v>
      </c>
      <c r="C21" s="177">
        <v>6934030.47</v>
      </c>
      <c r="D21" s="59">
        <f>D15+'IAN2022-R'!D21</f>
        <v>511471.01</v>
      </c>
      <c r="E21" s="60">
        <f>E15+'IAN2022-R'!E21</f>
        <v>603378.3899999999</v>
      </c>
      <c r="F21" s="70">
        <f>F15+'IAN2022-R'!F21</f>
        <v>10790.510000000002</v>
      </c>
      <c r="G21" s="137"/>
      <c r="H21" s="85">
        <f>H15+'IAN2022-R'!H21</f>
        <v>478528.99</v>
      </c>
      <c r="I21" s="82">
        <f>I15+'IAN2022-R'!I21</f>
        <v>10790.510000000002</v>
      </c>
      <c r="J21" s="285">
        <f>J15+'FEB2022-R'!J21</f>
        <v>503109.49</v>
      </c>
      <c r="K21" s="286">
        <f>K15+'FEB2022-R'!K21</f>
        <v>603478.91</v>
      </c>
      <c r="L21" s="287">
        <f>'FEB2022-R'!L21</f>
        <v>3103.814863649889</v>
      </c>
      <c r="M21" s="288">
        <f>M15+'MAR2022-R'!P21</f>
        <v>487743.3148636499</v>
      </c>
      <c r="N21" s="301">
        <f>M15+'MAR2022-R'!P21</f>
        <v>487743.3148636499</v>
      </c>
      <c r="O21" s="289">
        <f>O15+'MAR2022-R'!Q21</f>
        <v>759655.66</v>
      </c>
      <c r="P21" s="82">
        <f>P15+'MAR2022-R'!R21</f>
        <v>986.0518275625462</v>
      </c>
      <c r="Q21" s="291">
        <f>Q15+'IUL2022-R'!S21</f>
        <v>1966512.96</v>
      </c>
      <c r="R21" s="290">
        <f>R15+'APR2022-R'!T21</f>
        <v>520804.25</v>
      </c>
      <c r="S21" s="350">
        <f>S15+'APR2022-R'!U21</f>
        <v>529631.6799999999</v>
      </c>
      <c r="T21" s="290">
        <f>T15+'APR2022-R'!V21</f>
        <v>16602.81</v>
      </c>
      <c r="U21" s="290"/>
      <c r="V21" s="82">
        <f>V15+'APR2022-R'!X21</f>
        <v>17588.86182756255</v>
      </c>
      <c r="W21" s="301">
        <f>W15+'APR2022-R'!Y21</f>
        <v>3206000</v>
      </c>
      <c r="X21" s="290">
        <f>X15+'APR2022-R'!Z21</f>
        <v>468266.26</v>
      </c>
      <c r="Y21" s="379">
        <f>Y15+'MAI2022-R'!AA21</f>
        <v>518660.4418275626</v>
      </c>
      <c r="Z21" s="350">
        <f>Z15+'MAI2022-R'!AB21</f>
        <v>693094.44</v>
      </c>
      <c r="AA21" s="82">
        <f>'MAI2022-R'!AC21</f>
        <v>341</v>
      </c>
      <c r="AB21" s="290">
        <f>AB15+'IUL2022-R'!AD21</f>
        <v>512500.01</v>
      </c>
      <c r="AC21" s="350">
        <f>AC15+'IUL2022-R'!AE21</f>
        <v>679824.5700000001</v>
      </c>
      <c r="AD21" s="82">
        <f>AD15+'IUL2022-R'!AF21</f>
        <v>390.20000000000437</v>
      </c>
      <c r="AE21" s="370">
        <f>AE15+'IUL2022-R'!AG21</f>
        <v>1902550.69</v>
      </c>
      <c r="AF21" s="290">
        <f>AF15+'IUL2022-R'!AH21</f>
        <v>499277.8</v>
      </c>
      <c r="AG21" s="350">
        <f>AG15+'IUL2022-R'!AI21</f>
        <v>626636.53</v>
      </c>
      <c r="AH21" s="82">
        <f>AH15+'IUL2022-R'!AJ21</f>
        <v>1067</v>
      </c>
      <c r="AI21" s="290">
        <f>AI15+'AUG2022-R'!AK21</f>
        <v>506538.67</v>
      </c>
      <c r="AJ21" s="350">
        <f>AJ15+'AUG2022-R'!AL21</f>
        <v>673000.16</v>
      </c>
      <c r="AK21" s="82">
        <f>AK15+'AUG2022-R'!AM21</f>
        <v>895.5900000000038</v>
      </c>
      <c r="AL21" s="290">
        <f>AL15+'SEP2022-R'!AN22</f>
        <v>460413.04000000004</v>
      </c>
      <c r="AM21" s="350">
        <f>AM15+'SEP2022-R'!AO22</f>
        <v>652579.06</v>
      </c>
      <c r="AN21" s="82">
        <f>AN15+'SEP2022-R'!AP22</f>
        <v>3583.4600000000028</v>
      </c>
      <c r="AO21" s="370">
        <f>AO15+'SEP2022-R'!AQ22</f>
        <v>1952215.75</v>
      </c>
      <c r="AP21" s="510"/>
      <c r="AQ21" s="82">
        <f>AQ15+'SEP2022-R'!AS22</f>
        <v>6277.25</v>
      </c>
      <c r="AR21" s="301">
        <f>AR15+'TR 4 2022-R'!AP22</f>
        <v>743000</v>
      </c>
      <c r="AS21" s="290">
        <f>AS15+'TR 4 2022-R'!AQ22</f>
        <v>487043</v>
      </c>
      <c r="AT21" s="459">
        <f>AT15+'TR 4 2022-R'!AR22</f>
        <v>111022</v>
      </c>
      <c r="AU21" s="460">
        <f>AU15+'SEP2022-R'!AW22</f>
        <v>564030.16</v>
      </c>
      <c r="AV21" s="290">
        <f>AV15+'dupaOCT2022-R'!AX22</f>
        <v>551495.8400000001</v>
      </c>
      <c r="AW21" s="350">
        <f>AW15+'dupaOCT2022-R'!AY22</f>
        <v>778249.2899999999</v>
      </c>
      <c r="AX21" s="82">
        <f>AX15+'dupaOCT2022-R'!AZ22</f>
        <v>8105.311652859542</v>
      </c>
      <c r="AY21" s="290"/>
      <c r="AZ21" s="82">
        <f>AZ15+'dupaOCT2022-R'!BB22</f>
        <v>8105.311652859543</v>
      </c>
      <c r="BA21" s="290">
        <f>BA15+'TR 4 2022-R'!AT22</f>
        <v>233642.41502272003</v>
      </c>
      <c r="BB21" s="459">
        <f>BB15+'TR 4 2022-R'!AU22</f>
        <v>310450</v>
      </c>
      <c r="BC21" s="460">
        <f>BC15+'dupaOCT2022-R'!BE22</f>
        <v>520694.49502271996</v>
      </c>
      <c r="BD21" s="290">
        <f>BD15+'dupaOCT2022-R'!BF22</f>
        <v>528799.8066755796</v>
      </c>
      <c r="BE21" s="290">
        <f>BE15+'TR 4 2022-R'!AW22</f>
        <v>15314.58453192003</v>
      </c>
      <c r="BF21" s="459">
        <f>BF15+'TR 4 2022-R'!AX22</f>
        <v>321528</v>
      </c>
      <c r="BG21" s="460">
        <f>BG15+'dupaOCT2022-R'!BI22</f>
        <v>379052.07453192</v>
      </c>
      <c r="BH21" s="291">
        <f>BH15+'dupaOCT2022-R'!BJ22</f>
        <v>1686101.1712074997</v>
      </c>
      <c r="BI21" s="360">
        <f>BI15+'dupaOCT2022-R'!BK22</f>
        <v>7507380.571207499</v>
      </c>
      <c r="BJ21" s="361">
        <f>BJ15+'dupaOCT2022-R'!BL22</f>
        <v>6599528.6899999995</v>
      </c>
      <c r="BK21" s="290"/>
    </row>
    <row r="22" spans="3:62" ht="41.25" customHeight="1" thickBot="1">
      <c r="C22" s="246" t="s">
        <v>125</v>
      </c>
      <c r="D22" s="178">
        <v>82730.46999999974</v>
      </c>
      <c r="E22" s="295" t="s">
        <v>74</v>
      </c>
      <c r="F22" s="249">
        <f>E16+'IAN2022-R'!E22</f>
        <v>102697.89</v>
      </c>
      <c r="G22" s="583" t="s">
        <v>69</v>
      </c>
      <c r="H22" s="584"/>
      <c r="I22" s="584"/>
      <c r="J22" s="556" t="s">
        <v>78</v>
      </c>
      <c r="K22" s="557"/>
      <c r="L22" s="184">
        <f>L16+'FEB2022-R'!K22</f>
        <v>103473.23486364991</v>
      </c>
      <c r="N22" s="585" t="s">
        <v>91</v>
      </c>
      <c r="O22" s="586"/>
      <c r="P22" s="206">
        <f>P16+'MAR2022-R'!R22</f>
        <v>272898.39</v>
      </c>
      <c r="Q22" s="282"/>
      <c r="R22" s="585" t="s">
        <v>117</v>
      </c>
      <c r="S22" s="586"/>
      <c r="T22" s="206">
        <f>T16+'APR2022-R'!V22</f>
        <v>25430.23999999999</v>
      </c>
      <c r="U22" s="282"/>
      <c r="V22" s="282"/>
      <c r="W22" s="282"/>
      <c r="X22" s="371">
        <f>S19+'APR2022-R'!V24</f>
        <v>17588.86182756255</v>
      </c>
      <c r="Y22" s="585" t="s">
        <v>129</v>
      </c>
      <c r="Z22" s="586"/>
      <c r="AA22" s="401">
        <f>AA16+'MAI2022-R'!AB22</f>
        <v>84509.57895299152</v>
      </c>
      <c r="AB22" s="585" t="s">
        <v>135</v>
      </c>
      <c r="AC22" s="586"/>
      <c r="AD22" s="401">
        <f>AD16+'IUL2022-R'!AE22</f>
        <v>167504.75999999998</v>
      </c>
      <c r="AE22" s="282"/>
      <c r="AF22" s="282"/>
      <c r="AG22" s="585" t="s">
        <v>138</v>
      </c>
      <c r="AH22" s="586"/>
      <c r="AI22" s="401">
        <f>AH16+'IUL2022-R'!AJ22</f>
        <v>128425.72999999998</v>
      </c>
      <c r="AJ22" s="434" t="s">
        <v>146</v>
      </c>
      <c r="AK22" s="206">
        <f>AK16+'AUG2022-R'!AM22</f>
        <v>167274.02000000002</v>
      </c>
      <c r="AL22" s="488"/>
      <c r="AM22" s="434" t="s">
        <v>165</v>
      </c>
      <c r="AN22" s="206">
        <f>AN16+'SEP2022-R'!AP23</f>
        <v>195749.47999999998</v>
      </c>
      <c r="AO22" s="489"/>
      <c r="AP22" s="489"/>
      <c r="AQ22" s="489"/>
      <c r="AR22" s="489"/>
      <c r="AS22" s="490"/>
      <c r="AT22" s="282"/>
      <c r="AU22" s="282"/>
      <c r="AV22" s="282"/>
      <c r="AW22" s="434" t="s">
        <v>178</v>
      </c>
      <c r="AX22" s="206">
        <f>AX16+'dupaOCT2022-R'!AZ23</f>
        <v>234858.76457554306</v>
      </c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330"/>
      <c r="BJ22" s="331"/>
    </row>
    <row r="23" spans="2:62" ht="23.25" customHeight="1" thickBot="1">
      <c r="B23" s="241" t="s">
        <v>79</v>
      </c>
      <c r="C23" s="242">
        <v>1485000</v>
      </c>
      <c r="D23" s="163"/>
      <c r="E23" s="198">
        <f>F22+L22</f>
        <v>206171.1248636499</v>
      </c>
      <c r="F23" s="303" t="s">
        <v>80</v>
      </c>
      <c r="G23" s="163"/>
      <c r="H23" s="163"/>
      <c r="I23" s="163"/>
      <c r="J23" s="88"/>
      <c r="K23" s="116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412" t="s">
        <v>134</v>
      </c>
      <c r="AD23" s="413">
        <f>'IUL2022-R'!AF24</f>
        <v>210.00000000000182</v>
      </c>
      <c r="AE23" s="88"/>
      <c r="AF23" s="88"/>
      <c r="AG23" s="88"/>
      <c r="AH23" s="88"/>
      <c r="AI23" s="88">
        <f>AI22-82730</f>
        <v>45695.72999999998</v>
      </c>
      <c r="AJ23" s="88"/>
      <c r="AK23" s="438"/>
      <c r="AL23" s="439">
        <f>AK22+AS22</f>
        <v>167274.02000000002</v>
      </c>
      <c r="AM23" s="479"/>
      <c r="AN23" s="479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450" t="s">
        <v>151</v>
      </c>
      <c r="BB23" s="450"/>
      <c r="BC23" s="450"/>
      <c r="BD23" s="450"/>
      <c r="BE23" s="450"/>
      <c r="BF23" s="450"/>
      <c r="BG23" s="450"/>
      <c r="BH23" s="450"/>
      <c r="BI23" s="279" t="s">
        <v>70</v>
      </c>
      <c r="BJ23" s="234">
        <f>BI21-7355050</f>
        <v>152330.57120749913</v>
      </c>
    </row>
    <row r="24" spans="2:62" ht="25.5" customHeight="1" hidden="1" thickBot="1">
      <c r="B24" s="154"/>
      <c r="C24" s="155">
        <v>466000</v>
      </c>
      <c r="D24" s="164"/>
      <c r="E24" s="262"/>
      <c r="F24" s="164"/>
      <c r="G24" s="164"/>
      <c r="H24" s="164"/>
      <c r="I24" s="164"/>
      <c r="J24" s="280" t="s">
        <v>41</v>
      </c>
      <c r="K24" s="281" t="e">
        <f>L16+#REF!</f>
        <v>#REF!</v>
      </c>
      <c r="L24" s="164"/>
      <c r="M24" s="164"/>
      <c r="N24" s="164"/>
      <c r="O24" s="164"/>
      <c r="P24" s="164"/>
      <c r="Q24" s="159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233" t="e">
        <f>#REF!</f>
        <v>#REF!</v>
      </c>
      <c r="BJ24" s="41" t="e">
        <f>BJ23-#REF!</f>
        <v>#REF!</v>
      </c>
    </row>
    <row r="25" spans="2:62" ht="25.5" customHeight="1" hidden="1" thickBot="1">
      <c r="B25" s="157"/>
      <c r="C25" s="161"/>
      <c r="D25" s="158"/>
      <c r="E25" s="158"/>
      <c r="F25" s="158"/>
      <c r="G25" s="158"/>
      <c r="H25" s="158"/>
      <c r="I25" s="158"/>
      <c r="J25" s="158"/>
      <c r="K25" s="158"/>
      <c r="L25" s="158"/>
      <c r="M25" s="158" t="s">
        <v>42</v>
      </c>
      <c r="N25" s="158"/>
      <c r="O25" s="158"/>
      <c r="P25" s="158"/>
      <c r="Q25" s="161" t="e">
        <f>C23+Q23-K24</f>
        <v>#REF!</v>
      </c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232">
        <v>667000</v>
      </c>
      <c r="BJ25" s="211"/>
    </row>
    <row r="26" spans="2:62" ht="25.5" customHeight="1" hidden="1" thickBot="1">
      <c r="B26" s="188"/>
      <c r="C26" s="199">
        <v>3070000</v>
      </c>
      <c r="D26" s="162"/>
      <c r="E26" s="209">
        <v>3186320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5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116" t="e">
        <f>BI24-BI25</f>
        <v>#REF!</v>
      </c>
      <c r="BJ26" s="36"/>
    </row>
    <row r="27" spans="2:62" ht="19.5" customHeight="1" hidden="1" thickBot="1">
      <c r="B27" s="188"/>
      <c r="C27" s="214">
        <v>72293.07</v>
      </c>
      <c r="D27" s="215"/>
      <c r="E27" s="215">
        <v>3323950</v>
      </c>
      <c r="Q27" s="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116"/>
      <c r="BJ27" s="36"/>
    </row>
    <row r="28" spans="2:62" ht="25.5" customHeight="1" hidden="1" thickBot="1">
      <c r="B28" s="217"/>
      <c r="C28" s="218">
        <v>3982180</v>
      </c>
      <c r="Q28" s="152">
        <v>3982180</v>
      </c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210"/>
      <c r="BJ28" s="212"/>
    </row>
    <row r="29" spans="2:62" ht="24" customHeight="1" thickBot="1">
      <c r="B29" s="188"/>
      <c r="C29" s="220"/>
      <c r="D29" s="221"/>
      <c r="E29" s="222"/>
      <c r="AM29" s="28" t="s">
        <v>168</v>
      </c>
      <c r="AN29" s="28" t="s">
        <v>167</v>
      </c>
      <c r="AO29" s="71">
        <f>1.2+105.59+1828.09</f>
        <v>1934.8799999999999</v>
      </c>
      <c r="AP29" s="71"/>
      <c r="AQ29" s="71"/>
      <c r="BA29" s="420"/>
      <c r="BB29" s="451"/>
      <c r="BC29" s="451"/>
      <c r="BD29" s="531"/>
      <c r="BE29" s="451"/>
      <c r="BF29" s="451"/>
      <c r="BG29" s="451"/>
      <c r="BH29" s="455"/>
      <c r="BI29" s="446"/>
      <c r="BJ29" s="447"/>
    </row>
    <row r="30" spans="2:62" ht="15" customHeight="1" thickBot="1">
      <c r="B30" s="223" t="s">
        <v>60</v>
      </c>
      <c r="C30" s="244" t="s">
        <v>183</v>
      </c>
      <c r="D30" s="247" t="s">
        <v>118</v>
      </c>
      <c r="E30" s="183"/>
      <c r="F30" s="302"/>
      <c r="G30" s="302"/>
      <c r="H30" s="302"/>
      <c r="I30" s="302"/>
      <c r="J30" s="302"/>
      <c r="K30" s="302"/>
      <c r="L30" s="302"/>
      <c r="M30" s="302"/>
      <c r="N30" s="216"/>
      <c r="O30" s="216"/>
      <c r="P30" s="216"/>
      <c r="Q30" s="243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89"/>
      <c r="AD30" s="304"/>
      <c r="AE30" s="304"/>
      <c r="AF30" s="304"/>
      <c r="AG30" s="304"/>
      <c r="AH30" s="304"/>
      <c r="AI30" s="304"/>
      <c r="AJ30" s="304"/>
      <c r="AK30" s="304"/>
      <c r="AL30" s="304"/>
      <c r="AM30" s="492"/>
      <c r="AN30" s="493" t="s">
        <v>169</v>
      </c>
      <c r="AO30" s="494">
        <f>341+389+1067+790+1755.37</f>
        <v>4342.37</v>
      </c>
      <c r="AP30" s="36"/>
      <c r="AQ30" s="36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478"/>
      <c r="BJ30" s="1" t="s">
        <v>175</v>
      </c>
    </row>
    <row r="31" spans="2:62" ht="25.5" customHeight="1" thickBot="1">
      <c r="B31" s="326" t="s">
        <v>92</v>
      </c>
      <c r="C31" s="327" t="s">
        <v>93</v>
      </c>
      <c r="D31" s="2" t="s">
        <v>120</v>
      </c>
      <c r="AF31" s="420"/>
      <c r="AG31" s="421"/>
      <c r="AH31" s="552"/>
      <c r="AI31" s="552"/>
      <c r="AO31" s="82">
        <f>AO29+AO30</f>
        <v>6277.25</v>
      </c>
      <c r="AP31" s="71"/>
      <c r="AQ31" s="71"/>
      <c r="BJ31" s="511">
        <v>44875</v>
      </c>
    </row>
    <row r="32" spans="2:5" ht="22.5" customHeight="1" hidden="1" thickBot="1">
      <c r="B32" s="328" t="s">
        <v>94</v>
      </c>
      <c r="C32" s="329">
        <f>1773.9+500</f>
        <v>2273.9</v>
      </c>
      <c r="E32" s="26">
        <f>E21+K21+N21</f>
        <v>1694600.6148636497</v>
      </c>
    </row>
  </sheetData>
  <sheetProtection/>
  <mergeCells count="12">
    <mergeCell ref="G22:I22"/>
    <mergeCell ref="N22:O22"/>
    <mergeCell ref="AH31:AI31"/>
    <mergeCell ref="J16:K16"/>
    <mergeCell ref="J19:K19"/>
    <mergeCell ref="J22:K22"/>
    <mergeCell ref="Y22:Z22"/>
    <mergeCell ref="R16:S16"/>
    <mergeCell ref="R22:S22"/>
    <mergeCell ref="Q19:R19"/>
    <mergeCell ref="AG22:AH22"/>
    <mergeCell ref="AB22:AC22"/>
  </mergeCells>
  <printOptions/>
  <pageMargins left="0.17" right="0.17" top="0.48" bottom="0.21" header="0.68" footer="0.17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70"/>
  <sheetViews>
    <sheetView workbookViewId="0" topLeftCell="A1">
      <pane xSplit="4860" topLeftCell="AO1" activePane="topRight" state="split"/>
      <selection pane="topLeft" activeCell="A1" sqref="A1"/>
      <selection pane="topRight" activeCell="BD14" sqref="BD1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50390625" style="69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10.125" style="8" bestFit="1" customWidth="1"/>
    <col min="20" max="25" width="8.625" style="313" hidden="1" customWidth="1"/>
    <col min="26" max="26" width="7.50390625" style="313" hidden="1" customWidth="1"/>
    <col min="27" max="28" width="8.375" style="313" hidden="1" customWidth="1"/>
    <col min="29" max="29" width="8.875" style="313" hidden="1" customWidth="1"/>
    <col min="30" max="30" width="7.50390625" style="313" hidden="1" customWidth="1"/>
    <col min="31" max="31" width="8.375" style="313" hidden="1" customWidth="1"/>
    <col min="32" max="32" width="8.75390625" style="313" hidden="1" customWidth="1"/>
    <col min="33" max="33" width="10.125" style="313" bestFit="1" customWidth="1"/>
    <col min="34" max="34" width="7.75390625" style="313" hidden="1" customWidth="1"/>
    <col min="35" max="35" width="8.875" style="313" customWidth="1"/>
    <col min="36" max="36" width="8.875" style="313" hidden="1" customWidth="1"/>
    <col min="37" max="37" width="7.75390625" style="313" hidden="1" customWidth="1"/>
    <col min="38" max="38" width="10.875" style="313" bestFit="1" customWidth="1"/>
    <col min="39" max="39" width="8.375" style="313" bestFit="1" customWidth="1"/>
    <col min="40" max="40" width="8.75390625" style="313" bestFit="1" customWidth="1"/>
    <col min="41" max="42" width="8.75390625" style="313" customWidth="1"/>
    <col min="43" max="43" width="10.125" style="313" bestFit="1" customWidth="1"/>
    <col min="44" max="44" width="7.625" style="313" customWidth="1"/>
    <col min="45" max="45" width="7.125" style="313" customWidth="1"/>
    <col min="46" max="46" width="8.75390625" style="313" customWidth="1"/>
    <col min="47" max="47" width="9.125" style="313" hidden="1" customWidth="1"/>
    <col min="48" max="48" width="7.75390625" style="313" hidden="1" customWidth="1"/>
    <col min="49" max="49" width="9.125" style="313" bestFit="1" customWidth="1"/>
    <col min="50" max="50" width="9.125" style="313" customWidth="1"/>
    <col min="51" max="51" width="7.75390625" style="313" hidden="1" customWidth="1"/>
    <col min="52" max="52" width="8.25390625" style="313" hidden="1" customWidth="1"/>
    <col min="53" max="53" width="9.125" style="313" bestFit="1" customWidth="1"/>
    <col min="54" max="54" width="6.875" style="313" hidden="1" customWidth="1"/>
    <col min="55" max="55" width="9.25390625" style="313" hidden="1" customWidth="1"/>
    <col min="56" max="56" width="9.50390625" style="313" customWidth="1"/>
    <col min="57" max="57" width="9.875" style="313" customWidth="1"/>
    <col min="58" max="58" width="11.625" style="26" customWidth="1"/>
    <col min="59" max="59" width="11.00390625" style="2" customWidth="1"/>
    <col min="60" max="60" width="9.25390625" style="1" hidden="1" customWidth="1"/>
    <col min="61" max="61" width="11.25390625" style="1" customWidth="1"/>
    <col min="62" max="16384" width="9.00390625" style="1" customWidth="1"/>
  </cols>
  <sheetData>
    <row r="1" spans="1:59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25"/>
      <c r="BG1" s="13"/>
    </row>
    <row r="2" ht="43.5" customHeight="1">
      <c r="A2" s="8"/>
    </row>
    <row r="3" spans="1:59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5"/>
      <c r="BG3" s="13"/>
    </row>
    <row r="4" spans="1:60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409" t="s">
        <v>132</v>
      </c>
      <c r="AF4" s="408" t="s">
        <v>133</v>
      </c>
      <c r="AG4" s="185" t="s">
        <v>140</v>
      </c>
      <c r="AH4" s="311" t="s">
        <v>111</v>
      </c>
      <c r="AI4" s="37" t="s">
        <v>136</v>
      </c>
      <c r="AJ4" s="72" t="s">
        <v>143</v>
      </c>
      <c r="AK4" s="311" t="s">
        <v>112</v>
      </c>
      <c r="AL4" s="37" t="s">
        <v>144</v>
      </c>
      <c r="AM4" s="440" t="s">
        <v>145</v>
      </c>
      <c r="AN4" s="311" t="s">
        <v>113</v>
      </c>
      <c r="AO4" s="409" t="s">
        <v>163</v>
      </c>
      <c r="AP4" s="481" t="s">
        <v>164</v>
      </c>
      <c r="AQ4" s="185" t="s">
        <v>166</v>
      </c>
      <c r="AR4" s="499" t="s">
        <v>173</v>
      </c>
      <c r="AS4" s="501" t="s">
        <v>170</v>
      </c>
      <c r="AT4" s="300" t="s">
        <v>153</v>
      </c>
      <c r="AU4" s="468" t="s">
        <v>102</v>
      </c>
      <c r="AV4" s="453" t="s">
        <v>154</v>
      </c>
      <c r="AW4" s="457" t="s">
        <v>155</v>
      </c>
      <c r="AX4" s="503" t="s">
        <v>174</v>
      </c>
      <c r="AY4" s="468" t="s">
        <v>103</v>
      </c>
      <c r="AZ4" s="453" t="s">
        <v>154</v>
      </c>
      <c r="BA4" s="457" t="s">
        <v>156</v>
      </c>
      <c r="BB4" s="468" t="s">
        <v>116</v>
      </c>
      <c r="BC4" s="453" t="s">
        <v>154</v>
      </c>
      <c r="BD4" s="457" t="s">
        <v>157</v>
      </c>
      <c r="BE4" s="357" t="s">
        <v>158</v>
      </c>
      <c r="BF4" s="225" t="s">
        <v>159</v>
      </c>
      <c r="BG4" s="219" t="s">
        <v>55</v>
      </c>
      <c r="BH4" s="96" t="s">
        <v>130</v>
      </c>
    </row>
    <row r="5" spans="1:60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407">
        <v>98996</v>
      </c>
      <c r="AF5" s="363">
        <f>AD5-AE5</f>
        <v>4</v>
      </c>
      <c r="AG5" s="78">
        <f>U5+AB5+AE5</f>
        <v>288554</v>
      </c>
      <c r="AH5" s="362">
        <v>99000</v>
      </c>
      <c r="AI5" s="407">
        <v>98993</v>
      </c>
      <c r="AJ5" s="362">
        <f>AH5-AI5</f>
        <v>7</v>
      </c>
      <c r="AK5" s="362">
        <v>99000</v>
      </c>
      <c r="AL5" s="427">
        <v>99000</v>
      </c>
      <c r="AM5" s="424">
        <f>AK5-AL5</f>
        <v>0</v>
      </c>
      <c r="AN5" s="480">
        <v>99000</v>
      </c>
      <c r="AO5" s="407">
        <v>98985</v>
      </c>
      <c r="AP5" s="86">
        <f>AN5-AO5</f>
        <v>15</v>
      </c>
      <c r="AQ5" s="78">
        <f>AI5+AL5+AO5</f>
        <v>296978</v>
      </c>
      <c r="AR5" s="500"/>
      <c r="AS5" s="321"/>
      <c r="AT5" s="340">
        <v>113580.51</v>
      </c>
      <c r="AU5" s="363">
        <v>99000</v>
      </c>
      <c r="AV5" s="470">
        <v>0</v>
      </c>
      <c r="AW5" s="462">
        <f aca="true" t="shared" si="0" ref="AW5:AW11">AU5+AV5</f>
        <v>99000</v>
      </c>
      <c r="AX5" s="363">
        <f aca="true" t="shared" si="1" ref="AX5:AX11">AS5+AW5</f>
        <v>99000</v>
      </c>
      <c r="AY5" s="363">
        <v>19719.81300700002</v>
      </c>
      <c r="AZ5" s="470">
        <v>56790</v>
      </c>
      <c r="BA5" s="462">
        <f aca="true" t="shared" si="2" ref="BA5:BA11">AY5+AZ5</f>
        <v>76509.81300700002</v>
      </c>
      <c r="BB5" s="363">
        <v>0</v>
      </c>
      <c r="BC5" s="470">
        <f aca="true" t="shared" si="3" ref="BC5:BC11">AT5-AV5-AZ5</f>
        <v>56790.509999999995</v>
      </c>
      <c r="BD5" s="462">
        <f aca="true" t="shared" si="4" ref="BD5:BD11">BB5+BC5</f>
        <v>56790.509999999995</v>
      </c>
      <c r="BE5" s="78">
        <f aca="true" t="shared" si="5" ref="BE5:BE11">AX5+BA5+BD5</f>
        <v>232300.32300700003</v>
      </c>
      <c r="BF5" s="415">
        <f aca="true" t="shared" si="6" ref="BF5:BF11">S5+AG5+AQ5+BE5</f>
        <v>1117140.3230070001</v>
      </c>
      <c r="BG5" s="148">
        <f>S5+AG5+AQ5</f>
        <v>884840</v>
      </c>
      <c r="BH5" s="86"/>
    </row>
    <row r="6" spans="1:60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G6*H23/100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M6*M23/100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40000-9479+11250</f>
        <v>41771</v>
      </c>
      <c r="AE6" s="79">
        <v>45419</v>
      </c>
      <c r="AF6" s="352">
        <f>AD6-AE6</f>
        <v>-3648</v>
      </c>
      <c r="AG6" s="77">
        <f>U6+AB6+AE6</f>
        <v>140945</v>
      </c>
      <c r="AH6" s="83">
        <f>40000-11250</f>
        <v>28750</v>
      </c>
      <c r="AI6" s="79">
        <v>32627</v>
      </c>
      <c r="AJ6" s="418">
        <f>AH6-AI6</f>
        <v>-3877</v>
      </c>
      <c r="AK6" s="83">
        <v>40000</v>
      </c>
      <c r="AL6" s="428">
        <v>48015</v>
      </c>
      <c r="AM6" s="441">
        <f>AK6-AL6</f>
        <v>-8015</v>
      </c>
      <c r="AN6" s="24">
        <f>40000+1082</f>
        <v>41082</v>
      </c>
      <c r="AO6" s="79">
        <v>56108</v>
      </c>
      <c r="AP6" s="483">
        <f>AN6-AO6</f>
        <v>-15026</v>
      </c>
      <c r="AQ6" s="77">
        <f>AI6+AL6+AO6</f>
        <v>136750</v>
      </c>
      <c r="AR6" s="24">
        <f>(S6+AG6+AQ6)/9</f>
        <v>49273.555555555555</v>
      </c>
      <c r="AS6" s="265">
        <f>AR6*AR25/100</f>
        <v>1304.081652859541</v>
      </c>
      <c r="AT6" s="341">
        <v>51573.62</v>
      </c>
      <c r="AU6" s="364">
        <v>40000</v>
      </c>
      <c r="AV6" s="471">
        <v>11217</v>
      </c>
      <c r="AW6" s="463">
        <f>AU6+AV6-1082</f>
        <v>50135</v>
      </c>
      <c r="AX6" s="315">
        <f t="shared" si="1"/>
        <v>51439.08165285954</v>
      </c>
      <c r="AY6" s="364">
        <v>29643.709310200007</v>
      </c>
      <c r="AZ6" s="471">
        <v>20357</v>
      </c>
      <c r="BA6" s="463">
        <f t="shared" si="2"/>
        <v>50000.70931020001</v>
      </c>
      <c r="BB6" s="364">
        <v>0</v>
      </c>
      <c r="BC6" s="471">
        <f t="shared" si="3"/>
        <v>19999.620000000003</v>
      </c>
      <c r="BD6" s="463">
        <f t="shared" si="4"/>
        <v>19999.620000000003</v>
      </c>
      <c r="BE6" s="77">
        <f t="shared" si="5"/>
        <v>121439.41096305955</v>
      </c>
      <c r="BF6" s="416">
        <f t="shared" si="6"/>
        <v>564901.4109630595</v>
      </c>
      <c r="BG6" s="149">
        <f>S6+AG6+AQ6</f>
        <v>443462</v>
      </c>
      <c r="BH6" s="87"/>
    </row>
    <row r="7" spans="1:60" s="5" customFormat="1" ht="24" customHeight="1">
      <c r="A7" s="4">
        <v>3</v>
      </c>
      <c r="B7" s="477" t="s">
        <v>160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G7*H23/100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M7*M23/100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W7*X25/100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>AA7-AB7</f>
        <v>-78424.99874254865</v>
      </c>
      <c r="AD7" s="364">
        <f>20000-750.53+2075.53</f>
        <v>21325</v>
      </c>
      <c r="AE7" s="79">
        <v>106925</v>
      </c>
      <c r="AF7" s="352">
        <f>AD7-AE7</f>
        <v>-85600</v>
      </c>
      <c r="AG7" s="77">
        <f>U7+AB7+AE7</f>
        <v>248085</v>
      </c>
      <c r="AH7" s="83">
        <f>20000-2075.53+160.53</f>
        <v>18085</v>
      </c>
      <c r="AI7" s="79">
        <v>68585</v>
      </c>
      <c r="AJ7" s="418">
        <f>AH7-AI7</f>
        <v>-50500</v>
      </c>
      <c r="AK7" s="83">
        <f>20000-160.53+145.53</f>
        <v>19985</v>
      </c>
      <c r="AL7" s="428">
        <v>110055</v>
      </c>
      <c r="AM7" s="441">
        <f>AK7-AL7</f>
        <v>-90070</v>
      </c>
      <c r="AN7" s="24">
        <f>20000-145.53+1200.53</f>
        <v>21055</v>
      </c>
      <c r="AO7" s="79">
        <v>119355</v>
      </c>
      <c r="AP7" s="483">
        <f aca="true" t="shared" si="7" ref="AP7:AP20">AN7-AO7</f>
        <v>-98300</v>
      </c>
      <c r="AQ7" s="77">
        <f aca="true" t="shared" si="8" ref="AQ7:AQ20">AI7+AL7+AO7</f>
        <v>297995</v>
      </c>
      <c r="AR7" s="24">
        <f>(S7+AG7+AQ7)/9</f>
        <v>94917.77777777778</v>
      </c>
      <c r="AS7" s="265">
        <f>AR7*AR25/100</f>
        <v>2512.1088002394604</v>
      </c>
      <c r="AT7" s="341">
        <v>27880.53</v>
      </c>
      <c r="AU7" s="364">
        <v>20623</v>
      </c>
      <c r="AV7" s="471">
        <v>5000</v>
      </c>
      <c r="AW7" s="463">
        <f>AU7+AV7-1200.53</f>
        <v>24422.47</v>
      </c>
      <c r="AX7" s="315">
        <f t="shared" si="1"/>
        <v>26934.578800239462</v>
      </c>
      <c r="AY7" s="364">
        <v>20000.19</v>
      </c>
      <c r="AZ7" s="471">
        <v>5000</v>
      </c>
      <c r="BA7" s="463">
        <f t="shared" si="2"/>
        <v>25000.19</v>
      </c>
      <c r="BB7" s="364">
        <v>0.0030900000165274832</v>
      </c>
      <c r="BC7" s="471">
        <f t="shared" si="3"/>
        <v>17880.53</v>
      </c>
      <c r="BD7" s="463">
        <f t="shared" si="4"/>
        <v>17880.533090000015</v>
      </c>
      <c r="BE7" s="77">
        <f t="shared" si="5"/>
        <v>69815.30189023947</v>
      </c>
      <c r="BF7" s="416">
        <f t="shared" si="6"/>
        <v>924075.3018902395</v>
      </c>
      <c r="BG7" s="149">
        <f aca="true" t="shared" si="9" ref="BG7:BG20">S7+AG7+AQ7</f>
        <v>854260</v>
      </c>
      <c r="BH7" s="87"/>
    </row>
    <row r="8" spans="1:60" s="5" customFormat="1" ht="24" customHeight="1">
      <c r="A8" s="4">
        <v>4</v>
      </c>
      <c r="B8" s="476" t="s">
        <v>161</v>
      </c>
      <c r="C8" s="149"/>
      <c r="D8" s="33"/>
      <c r="E8" s="251"/>
      <c r="F8" s="204"/>
      <c r="G8" s="32"/>
      <c r="H8" s="33"/>
      <c r="I8" s="32"/>
      <c r="J8" s="181"/>
      <c r="K8" s="45"/>
      <c r="L8" s="204"/>
      <c r="M8" s="268"/>
      <c r="N8" s="33"/>
      <c r="O8" s="268"/>
      <c r="P8" s="298"/>
      <c r="Q8" s="45"/>
      <c r="R8" s="204"/>
      <c r="S8" s="77"/>
      <c r="T8" s="315"/>
      <c r="U8" s="337"/>
      <c r="V8" s="352"/>
      <c r="W8" s="265"/>
      <c r="X8" s="315"/>
      <c r="Y8" s="341"/>
      <c r="Z8" s="83"/>
      <c r="AA8" s="394"/>
      <c r="AB8" s="397"/>
      <c r="AC8" s="400"/>
      <c r="AD8" s="364"/>
      <c r="AE8" s="79"/>
      <c r="AF8" s="352"/>
      <c r="AG8" s="77"/>
      <c r="AH8" s="83"/>
      <c r="AI8" s="79"/>
      <c r="AJ8" s="418"/>
      <c r="AK8" s="83"/>
      <c r="AL8" s="428"/>
      <c r="AM8" s="441"/>
      <c r="AN8" s="24">
        <v>0</v>
      </c>
      <c r="AO8" s="79">
        <v>0</v>
      </c>
      <c r="AP8" s="87">
        <f t="shared" si="7"/>
        <v>0</v>
      </c>
      <c r="AQ8" s="77">
        <f t="shared" si="8"/>
        <v>0</v>
      </c>
      <c r="AR8" s="24"/>
      <c r="AS8" s="265"/>
      <c r="AT8" s="341">
        <v>40544.33</v>
      </c>
      <c r="AU8" s="364">
        <v>0</v>
      </c>
      <c r="AV8" s="471">
        <v>15000</v>
      </c>
      <c r="AW8" s="463">
        <f t="shared" si="0"/>
        <v>15000</v>
      </c>
      <c r="AX8" s="364">
        <f t="shared" si="1"/>
        <v>15000</v>
      </c>
      <c r="AY8" s="364">
        <v>0</v>
      </c>
      <c r="AZ8" s="471">
        <v>15000</v>
      </c>
      <c r="BA8" s="463">
        <f t="shared" si="2"/>
        <v>15000</v>
      </c>
      <c r="BB8" s="364">
        <v>0</v>
      </c>
      <c r="BC8" s="471">
        <f t="shared" si="3"/>
        <v>10544.330000000002</v>
      </c>
      <c r="BD8" s="463">
        <f t="shared" si="4"/>
        <v>10544.330000000002</v>
      </c>
      <c r="BE8" s="77">
        <f t="shared" si="5"/>
        <v>40544.33</v>
      </c>
      <c r="BF8" s="416">
        <f t="shared" si="6"/>
        <v>40544.33</v>
      </c>
      <c r="BG8" s="149">
        <f t="shared" si="9"/>
        <v>0</v>
      </c>
      <c r="BH8" s="87"/>
    </row>
    <row r="9" spans="1:60" s="5" customFormat="1" ht="24" customHeight="1">
      <c r="A9" s="4">
        <v>5</v>
      </c>
      <c r="B9" s="476" t="s">
        <v>162</v>
      </c>
      <c r="C9" s="149"/>
      <c r="D9" s="33"/>
      <c r="E9" s="251"/>
      <c r="F9" s="204"/>
      <c r="G9" s="32"/>
      <c r="H9" s="33"/>
      <c r="I9" s="32"/>
      <c r="J9" s="181"/>
      <c r="K9" s="45"/>
      <c r="L9" s="204"/>
      <c r="M9" s="268"/>
      <c r="N9" s="33"/>
      <c r="O9" s="268"/>
      <c r="P9" s="298"/>
      <c r="Q9" s="45"/>
      <c r="R9" s="204"/>
      <c r="S9" s="77"/>
      <c r="T9" s="315"/>
      <c r="U9" s="337"/>
      <c r="V9" s="352"/>
      <c r="W9" s="265"/>
      <c r="X9" s="315"/>
      <c r="Y9" s="341"/>
      <c r="Z9" s="83"/>
      <c r="AA9" s="394"/>
      <c r="AB9" s="397"/>
      <c r="AC9" s="400"/>
      <c r="AD9" s="364"/>
      <c r="AE9" s="79"/>
      <c r="AF9" s="352"/>
      <c r="AG9" s="77"/>
      <c r="AH9" s="83"/>
      <c r="AI9" s="79"/>
      <c r="AJ9" s="418"/>
      <c r="AK9" s="83"/>
      <c r="AL9" s="428"/>
      <c r="AM9" s="441"/>
      <c r="AN9" s="24">
        <v>0</v>
      </c>
      <c r="AO9" s="79">
        <v>0</v>
      </c>
      <c r="AP9" s="87">
        <f t="shared" si="7"/>
        <v>0</v>
      </c>
      <c r="AQ9" s="77">
        <f t="shared" si="8"/>
        <v>0</v>
      </c>
      <c r="AR9" s="24"/>
      <c r="AS9" s="265"/>
      <c r="AT9" s="341">
        <v>16166.46</v>
      </c>
      <c r="AU9" s="364">
        <v>0</v>
      </c>
      <c r="AV9" s="471">
        <v>6000</v>
      </c>
      <c r="AW9" s="463">
        <f t="shared" si="0"/>
        <v>6000</v>
      </c>
      <c r="AX9" s="364">
        <f t="shared" si="1"/>
        <v>6000</v>
      </c>
      <c r="AY9" s="364">
        <v>0</v>
      </c>
      <c r="AZ9" s="471">
        <v>6000</v>
      </c>
      <c r="BA9" s="463">
        <f t="shared" si="2"/>
        <v>6000</v>
      </c>
      <c r="BB9" s="364">
        <v>0</v>
      </c>
      <c r="BC9" s="471">
        <f t="shared" si="3"/>
        <v>4166.459999999999</v>
      </c>
      <c r="BD9" s="463">
        <f t="shared" si="4"/>
        <v>4166.459999999999</v>
      </c>
      <c r="BE9" s="77">
        <f t="shared" si="5"/>
        <v>16166.46</v>
      </c>
      <c r="BF9" s="416">
        <f t="shared" si="6"/>
        <v>16166.46</v>
      </c>
      <c r="BG9" s="149">
        <f t="shared" si="9"/>
        <v>0</v>
      </c>
      <c r="BH9" s="87"/>
    </row>
    <row r="10" spans="1:60" s="5" customFormat="1" ht="26.25" customHeight="1">
      <c r="A10" s="4">
        <v>6</v>
      </c>
      <c r="B10" s="124" t="s">
        <v>7</v>
      </c>
      <c r="C10" s="149">
        <v>158383</v>
      </c>
      <c r="D10" s="33">
        <f>12001.81+1135.19</f>
        <v>13137</v>
      </c>
      <c r="E10" s="251">
        <v>13137</v>
      </c>
      <c r="F10" s="32">
        <f>D10-E10</f>
        <v>0</v>
      </c>
      <c r="G10" s="32">
        <f>(C10+E10)/13</f>
        <v>13193.846153846154</v>
      </c>
      <c r="H10" s="33">
        <f>11966.32-1135.19</f>
        <v>10831.13</v>
      </c>
      <c r="I10" s="32">
        <f>G10*H23/100</f>
        <v>404.09486364988953</v>
      </c>
      <c r="J10" s="181">
        <f>H10+I10+1121.78</f>
        <v>12357.004863649889</v>
      </c>
      <c r="K10" s="45">
        <v>12357</v>
      </c>
      <c r="L10" s="32">
        <f>J10-K10</f>
        <v>0.0048636498886480695</v>
      </c>
      <c r="M10" s="268">
        <f>(C10+E10+K10)/14</f>
        <v>13134.07142857143</v>
      </c>
      <c r="N10" s="33">
        <f>11966.32-1121.78</f>
        <v>10844.539999999999</v>
      </c>
      <c r="O10" s="268">
        <f>M10*M23/100</f>
        <v>238.97182756254446</v>
      </c>
      <c r="P10" s="298">
        <f>N10+O10</f>
        <v>11083.511827562543</v>
      </c>
      <c r="Q10" s="45">
        <v>11083</v>
      </c>
      <c r="R10" s="32">
        <f>P10-Q10</f>
        <v>0.5118275625427486</v>
      </c>
      <c r="S10" s="77">
        <f>E10+K10+Q10</f>
        <v>36577</v>
      </c>
      <c r="T10" s="315">
        <f>12087.19+1111.81</f>
        <v>13199</v>
      </c>
      <c r="U10" s="337">
        <v>13199</v>
      </c>
      <c r="V10" s="315">
        <f>T10-U10</f>
        <v>0</v>
      </c>
      <c r="W10" s="265">
        <f>(C10+S10+U10)/16</f>
        <v>13009.9375</v>
      </c>
      <c r="X10" s="315">
        <f>W10*X25/100</f>
        <v>1797.1807805540595</v>
      </c>
      <c r="Y10" s="341">
        <v>77123.49</v>
      </c>
      <c r="Z10" s="83">
        <f>12000-1111.81</f>
        <v>10888.19</v>
      </c>
      <c r="AA10" s="394">
        <f>X10+Z10+1265.63</f>
        <v>13951.000780554059</v>
      </c>
      <c r="AB10" s="397">
        <v>13951</v>
      </c>
      <c r="AC10" s="395">
        <f>AA10-AB10</f>
        <v>0.0007805540590197779</v>
      </c>
      <c r="AD10" s="364">
        <f>12000-1265.63+9.63</f>
        <v>10743.999999999998</v>
      </c>
      <c r="AE10" s="79">
        <v>10954</v>
      </c>
      <c r="AF10" s="410">
        <f>AD10-AE10</f>
        <v>-210.00000000000182</v>
      </c>
      <c r="AG10" s="77">
        <f>U10+AB10+AE10</f>
        <v>38104</v>
      </c>
      <c r="AH10" s="83">
        <f>12000-9.63+1174.63</f>
        <v>13165</v>
      </c>
      <c r="AI10" s="79">
        <v>13165</v>
      </c>
      <c r="AJ10" s="83">
        <f>AH10-AI10</f>
        <v>0</v>
      </c>
      <c r="AK10" s="83">
        <f>12000-1174.63+1086.63</f>
        <v>11912</v>
      </c>
      <c r="AL10" s="428">
        <v>11912</v>
      </c>
      <c r="AM10" s="425">
        <f>AK10-AL10</f>
        <v>0</v>
      </c>
      <c r="AN10" s="24">
        <f>12000-1086.63</f>
        <v>10913.369999999999</v>
      </c>
      <c r="AO10" s="79">
        <v>10913</v>
      </c>
      <c r="AP10" s="87">
        <f t="shared" si="7"/>
        <v>0.36999999999898137</v>
      </c>
      <c r="AQ10" s="77">
        <f t="shared" si="8"/>
        <v>35990</v>
      </c>
      <c r="AR10" s="24">
        <f>(S10+AG10+AQ10)/9</f>
        <v>12296.777777777777</v>
      </c>
      <c r="AS10" s="265">
        <f>AR10*AR25/100</f>
        <v>325.44845015721364</v>
      </c>
      <c r="AT10" s="341">
        <v>14162.82</v>
      </c>
      <c r="AU10" s="364">
        <v>12000</v>
      </c>
      <c r="AV10" s="471">
        <v>0</v>
      </c>
      <c r="AW10" s="463">
        <f t="shared" si="0"/>
        <v>12000</v>
      </c>
      <c r="AX10" s="315">
        <f t="shared" si="1"/>
        <v>12325.448450157213</v>
      </c>
      <c r="AY10" s="364">
        <v>5123.493752520008</v>
      </c>
      <c r="AZ10" s="471">
        <v>6877</v>
      </c>
      <c r="BA10" s="463">
        <f t="shared" si="2"/>
        <v>12000.493752520008</v>
      </c>
      <c r="BB10" s="364">
        <v>0</v>
      </c>
      <c r="BC10" s="471">
        <f t="shared" si="3"/>
        <v>7285.82</v>
      </c>
      <c r="BD10" s="463">
        <f t="shared" si="4"/>
        <v>7285.82</v>
      </c>
      <c r="BE10" s="77">
        <f t="shared" si="5"/>
        <v>31611.762202677222</v>
      </c>
      <c r="BF10" s="416">
        <f t="shared" si="6"/>
        <v>142282.76220267723</v>
      </c>
      <c r="BG10" s="149">
        <f t="shared" si="9"/>
        <v>110671</v>
      </c>
      <c r="BH10" s="87"/>
    </row>
    <row r="11" spans="1:60" s="5" customFormat="1" ht="26.25" customHeight="1" thickBot="1">
      <c r="A11" s="4">
        <v>7</v>
      </c>
      <c r="B11" s="124" t="s">
        <v>11</v>
      </c>
      <c r="C11" s="149">
        <v>95375</v>
      </c>
      <c r="D11" s="33">
        <f>6662.76+652.24</f>
        <v>7315</v>
      </c>
      <c r="E11" s="251">
        <v>7725</v>
      </c>
      <c r="F11" s="204">
        <f>D11-E11</f>
        <v>-410</v>
      </c>
      <c r="G11" s="32">
        <f>(C11+E11)/13</f>
        <v>7930.7692307692305</v>
      </c>
      <c r="H11" s="33">
        <f>7170.08-652.24</f>
        <v>6517.84</v>
      </c>
      <c r="I11" s="32">
        <f>G11*H23/100</f>
        <v>242.8998393324604</v>
      </c>
      <c r="J11" s="181">
        <f>H11+I11+669.26</f>
        <v>7429.99983933246</v>
      </c>
      <c r="K11" s="45">
        <v>7745</v>
      </c>
      <c r="L11" s="204">
        <f>J11-K11</f>
        <v>-315.0001606675396</v>
      </c>
      <c r="M11" s="268">
        <f>(C11+E11+K11)/14</f>
        <v>7917.5</v>
      </c>
      <c r="N11" s="33">
        <f>7170.08-669.26</f>
        <v>6500.82</v>
      </c>
      <c r="O11" s="268">
        <f>M11*M23/100</f>
        <v>144.05734391016952</v>
      </c>
      <c r="P11" s="298">
        <f>N11+O11</f>
        <v>6644.87734391017</v>
      </c>
      <c r="Q11" s="45">
        <v>6850</v>
      </c>
      <c r="R11" s="204">
        <f>P11-Q11</f>
        <v>-205.12265608983034</v>
      </c>
      <c r="S11" s="77">
        <f>E11+K11+Q11</f>
        <v>22320</v>
      </c>
      <c r="T11" s="315">
        <f>7242.51+722.49</f>
        <v>7965</v>
      </c>
      <c r="U11" s="337">
        <v>7965</v>
      </c>
      <c r="V11" s="315">
        <f>T11-U11</f>
        <v>0</v>
      </c>
      <c r="W11" s="265">
        <f>(C11+S11+U11)/16</f>
        <v>7853.75</v>
      </c>
      <c r="X11" s="315">
        <f>W11*X25/100</f>
        <v>1084.9097895571324</v>
      </c>
      <c r="Y11" s="341">
        <v>46932.6</v>
      </c>
      <c r="Z11" s="83">
        <f>7000-722.49</f>
        <v>6277.51</v>
      </c>
      <c r="AA11" s="394">
        <f>X11+Z11</f>
        <v>7362.419789557132</v>
      </c>
      <c r="AB11" s="397">
        <v>7560</v>
      </c>
      <c r="AC11" s="400">
        <f>AA11-AB11</f>
        <v>-197.5802104428676</v>
      </c>
      <c r="AD11" s="364">
        <v>7000</v>
      </c>
      <c r="AE11" s="79">
        <v>7175</v>
      </c>
      <c r="AF11" s="352">
        <f>AD11-AE11</f>
        <v>-175</v>
      </c>
      <c r="AG11" s="77">
        <f>U11+AB11+AE11</f>
        <v>22700</v>
      </c>
      <c r="AH11" s="83">
        <v>7000</v>
      </c>
      <c r="AI11" s="79">
        <v>8200</v>
      </c>
      <c r="AJ11" s="418">
        <f>AH11-AI11</f>
        <v>-1200</v>
      </c>
      <c r="AK11" s="83">
        <v>7000</v>
      </c>
      <c r="AL11" s="428">
        <v>7390</v>
      </c>
      <c r="AM11" s="441">
        <f>AK11-AL11</f>
        <v>-390</v>
      </c>
      <c r="AN11" s="24">
        <v>7000</v>
      </c>
      <c r="AO11" s="79">
        <v>7650</v>
      </c>
      <c r="AP11" s="484">
        <f t="shared" si="7"/>
        <v>-650</v>
      </c>
      <c r="AQ11" s="77">
        <f t="shared" si="8"/>
        <v>23240</v>
      </c>
      <c r="AR11" s="24">
        <f>(S11+AG11+AQ11)/9</f>
        <v>7584.444444444444</v>
      </c>
      <c r="AS11" s="265">
        <f>AR11*AR25/100</f>
        <v>200.73109674378478</v>
      </c>
      <c r="AT11" s="341">
        <v>8618.62</v>
      </c>
      <c r="AU11" s="364">
        <v>7000</v>
      </c>
      <c r="AV11" s="471">
        <v>0</v>
      </c>
      <c r="AW11" s="463">
        <f t="shared" si="0"/>
        <v>7000</v>
      </c>
      <c r="AX11" s="315">
        <f t="shared" si="1"/>
        <v>7200.731096743785</v>
      </c>
      <c r="AY11" s="364">
        <v>4932.596685000004</v>
      </c>
      <c r="AZ11" s="471">
        <v>4068</v>
      </c>
      <c r="BA11" s="463">
        <f t="shared" si="2"/>
        <v>9000.596685000004</v>
      </c>
      <c r="BB11" s="364">
        <v>0</v>
      </c>
      <c r="BC11" s="471">
        <f t="shared" si="3"/>
        <v>4550.620000000001</v>
      </c>
      <c r="BD11" s="463">
        <f t="shared" si="4"/>
        <v>4550.620000000001</v>
      </c>
      <c r="BE11" s="77">
        <f t="shared" si="5"/>
        <v>20751.947781743787</v>
      </c>
      <c r="BF11" s="416">
        <f t="shared" si="6"/>
        <v>89011.94778174379</v>
      </c>
      <c r="BG11" s="149">
        <f t="shared" si="9"/>
        <v>68260</v>
      </c>
      <c r="BH11" s="87"/>
    </row>
    <row r="12" spans="1:60" s="5" customFormat="1" ht="20.25" customHeight="1" thickBot="1">
      <c r="A12" s="4">
        <v>8</v>
      </c>
      <c r="B12" s="125" t="s">
        <v>1</v>
      </c>
      <c r="C12" s="47">
        <v>3105146</v>
      </c>
      <c r="D12" s="47">
        <f>SUM(D5:D11)</f>
        <v>185273.01</v>
      </c>
      <c r="E12" s="47">
        <f>SUM(E5:E11)</f>
        <v>243687</v>
      </c>
      <c r="F12" s="47">
        <f>F5+F10</f>
        <v>4125.550000000003</v>
      </c>
      <c r="G12" s="47">
        <f>SUM(G5:G11)</f>
        <v>173459</v>
      </c>
      <c r="H12" s="47">
        <f>SUM(H5:H11)</f>
        <v>181276.47</v>
      </c>
      <c r="I12" s="47">
        <f>SUM(I5:I11)</f>
        <v>5312.620000000002</v>
      </c>
      <c r="J12" s="47">
        <f>SUM(J5:J11)</f>
        <v>188535.34</v>
      </c>
      <c r="K12" s="47">
        <f>SUM(K5:K11)</f>
        <v>234311</v>
      </c>
      <c r="L12" s="47">
        <f>L5+L10</f>
        <v>10.36486364988923</v>
      </c>
      <c r="M12" s="47">
        <f>SUM(M5:M11)</f>
        <v>170588</v>
      </c>
      <c r="N12" s="47">
        <f>SUM(N5:N11)</f>
        <v>181350.30000000002</v>
      </c>
      <c r="O12" s="47">
        <f>SUM(O5:O11)</f>
        <v>3103.8148636498895</v>
      </c>
      <c r="P12" s="47">
        <f>SUM(P5:P11)</f>
        <v>184483.17486364988</v>
      </c>
      <c r="Q12" s="47">
        <f>SUM(Q5:Q11)</f>
        <v>354154</v>
      </c>
      <c r="R12" s="47">
        <f>R5+R10</f>
        <v>5.871827562543331</v>
      </c>
      <c r="S12" s="47">
        <f>SUM(S5:S11)</f>
        <v>832152</v>
      </c>
      <c r="T12" s="335">
        <f>SUM(T5:T11)</f>
        <v>187096.62</v>
      </c>
      <c r="U12" s="335">
        <f>SUM(U5:U11)</f>
        <v>180368</v>
      </c>
      <c r="V12" s="335">
        <f>V5+V6</f>
        <v>13328.620000000003</v>
      </c>
      <c r="W12" s="347">
        <f aca="true" t="shared" si="10" ref="W12:AB12">SUM(W5:W11)</f>
        <v>119625.25</v>
      </c>
      <c r="X12" s="347">
        <f t="shared" si="10"/>
        <v>16524.921827562546</v>
      </c>
      <c r="Y12" s="347">
        <f t="shared" si="10"/>
        <v>1148042.8</v>
      </c>
      <c r="Z12" s="347">
        <f t="shared" si="10"/>
        <v>176022.34000000003</v>
      </c>
      <c r="AA12" s="347">
        <f t="shared" si="10"/>
        <v>204042.42182756256</v>
      </c>
      <c r="AB12" s="347">
        <f t="shared" si="10"/>
        <v>288551</v>
      </c>
      <c r="AC12" s="347">
        <f>AC5</f>
        <v>1</v>
      </c>
      <c r="AD12" s="381">
        <f>SUM(AD5:AD11)</f>
        <v>179840</v>
      </c>
      <c r="AE12" s="369">
        <f>SUM(AE5:AE11)</f>
        <v>269469</v>
      </c>
      <c r="AF12" s="369">
        <f>AF5</f>
        <v>4</v>
      </c>
      <c r="AG12" s="347">
        <f>SUM(AG5:AG11)</f>
        <v>738388</v>
      </c>
      <c r="AH12" s="347">
        <f>SUM(AH5:AH11)</f>
        <v>166000</v>
      </c>
      <c r="AI12" s="347">
        <f>SUM(AI5:AI11)</f>
        <v>221570</v>
      </c>
      <c r="AJ12" s="347">
        <f>AJ5</f>
        <v>7</v>
      </c>
      <c r="AK12" s="347">
        <f>SUM(AK5:AK11)</f>
        <v>177897</v>
      </c>
      <c r="AL12" s="347">
        <f>SUM(AL5:AL11)</f>
        <v>276372</v>
      </c>
      <c r="AM12" s="347">
        <f>AM5+AM10</f>
        <v>0</v>
      </c>
      <c r="AN12" s="347">
        <f aca="true" t="shared" si="11" ref="AN12:BH12">SUM(AN5:AN11)</f>
        <v>179050.37</v>
      </c>
      <c r="AO12" s="347">
        <f>SUM(AO5:AO11)</f>
        <v>293011</v>
      </c>
      <c r="AP12" s="406">
        <f>AP5+AP8+AP9+AP10</f>
        <v>15.369999999998981</v>
      </c>
      <c r="AQ12" s="369">
        <f t="shared" si="11"/>
        <v>790953</v>
      </c>
      <c r="AR12" s="349">
        <f>SUM(AR5:AR11)</f>
        <v>164072.55555555556</v>
      </c>
      <c r="AS12" s="369">
        <f>SUM(AS5:AS11)</f>
        <v>4342.37</v>
      </c>
      <c r="AT12" s="369">
        <f t="shared" si="11"/>
        <v>272526.88999999996</v>
      </c>
      <c r="AU12" s="381">
        <f t="shared" si="11"/>
        <v>178623</v>
      </c>
      <c r="AV12" s="472">
        <f t="shared" si="11"/>
        <v>37217</v>
      </c>
      <c r="AW12" s="472">
        <f t="shared" si="11"/>
        <v>213557.47</v>
      </c>
      <c r="AX12" s="472">
        <f t="shared" si="11"/>
        <v>217899.84</v>
      </c>
      <c r="AY12" s="472">
        <f t="shared" si="11"/>
        <v>79419.80275472003</v>
      </c>
      <c r="AZ12" s="472">
        <f t="shared" si="11"/>
        <v>114092</v>
      </c>
      <c r="BA12" s="472">
        <f t="shared" si="11"/>
        <v>193511.80275472003</v>
      </c>
      <c r="BB12" s="472">
        <f t="shared" si="11"/>
        <v>0.0030900000165274832</v>
      </c>
      <c r="BC12" s="472">
        <f t="shared" si="11"/>
        <v>121217.89000000001</v>
      </c>
      <c r="BD12" s="472">
        <f t="shared" si="11"/>
        <v>121217.89309000003</v>
      </c>
      <c r="BE12" s="472">
        <f t="shared" si="11"/>
        <v>532629.5358447201</v>
      </c>
      <c r="BF12" s="47">
        <f t="shared" si="11"/>
        <v>2894122.5358447204</v>
      </c>
      <c r="BG12" s="47">
        <f t="shared" si="11"/>
        <v>2361493</v>
      </c>
      <c r="BH12" s="47">
        <f t="shared" si="11"/>
        <v>0</v>
      </c>
    </row>
    <row r="13" spans="1:60" s="5" customFormat="1" ht="22.5" customHeight="1">
      <c r="A13" s="4">
        <v>9</v>
      </c>
      <c r="B13" s="56" t="s">
        <v>21</v>
      </c>
      <c r="C13" s="149">
        <v>15360</v>
      </c>
      <c r="D13" s="24">
        <v>1272.07</v>
      </c>
      <c r="E13" s="101">
        <v>1260</v>
      </c>
      <c r="F13" s="32">
        <f aca="true" t="shared" si="12" ref="F13:F20">D13-E13</f>
        <v>12.069999999999936</v>
      </c>
      <c r="G13" s="32"/>
      <c r="H13" s="24">
        <v>1268.31</v>
      </c>
      <c r="I13" s="23"/>
      <c r="J13" s="181">
        <f aca="true" t="shared" si="13" ref="J13:J20">H13+I13</f>
        <v>1268.31</v>
      </c>
      <c r="K13" s="45">
        <v>1260</v>
      </c>
      <c r="L13" s="32">
        <f aca="true" t="shared" si="14" ref="L13:L20">J13-K13</f>
        <v>8.309999999999945</v>
      </c>
      <c r="M13" s="32"/>
      <c r="N13" s="33">
        <v>1268.31</v>
      </c>
      <c r="O13" s="32"/>
      <c r="P13" s="298">
        <f aca="true" t="shared" si="15" ref="P13:P20">N13+O13</f>
        <v>1268.31</v>
      </c>
      <c r="Q13" s="45">
        <v>1260</v>
      </c>
      <c r="R13" s="32">
        <f aca="true" t="shared" si="16" ref="R13:R20">P13-Q13</f>
        <v>8.309999999999945</v>
      </c>
      <c r="S13" s="77">
        <f aca="true" t="shared" si="17" ref="S13:S20">E13+K13+Q13</f>
        <v>3780</v>
      </c>
      <c r="T13" s="315">
        <v>1281.12</v>
      </c>
      <c r="U13" s="337">
        <v>1260</v>
      </c>
      <c r="V13" s="315">
        <f aca="true" t="shared" si="18" ref="V13:V20">T13-U13</f>
        <v>21.11999999999989</v>
      </c>
      <c r="W13" s="265">
        <v>0</v>
      </c>
      <c r="X13" s="315"/>
      <c r="Y13" s="341">
        <v>8301.85</v>
      </c>
      <c r="Z13" s="83">
        <v>960</v>
      </c>
      <c r="AA13" s="393">
        <f aca="true" t="shared" si="19" ref="AA13:AA20">X13+Z13</f>
        <v>960</v>
      </c>
      <c r="AB13" s="396">
        <v>960</v>
      </c>
      <c r="AC13" s="395">
        <f aca="true" t="shared" si="20" ref="AC13:AC20">AA13-AB13</f>
        <v>0</v>
      </c>
      <c r="AD13" s="364">
        <v>960</v>
      </c>
      <c r="AE13" s="79">
        <v>960</v>
      </c>
      <c r="AF13" s="364">
        <f aca="true" t="shared" si="21" ref="AF13:AF20">AD13-AE13</f>
        <v>0</v>
      </c>
      <c r="AG13" s="77">
        <f aca="true" t="shared" si="22" ref="AG13:AG20">U13+AB13+AE13</f>
        <v>3180</v>
      </c>
      <c r="AH13" s="83">
        <v>1200</v>
      </c>
      <c r="AI13" s="79">
        <v>1200</v>
      </c>
      <c r="AJ13" s="83">
        <f aca="true" t="shared" si="23" ref="AJ13:AJ20">AH13-AI13</f>
        <v>0</v>
      </c>
      <c r="AK13" s="83">
        <v>1200</v>
      </c>
      <c r="AL13" s="428">
        <v>1200</v>
      </c>
      <c r="AM13" s="425">
        <f aca="true" t="shared" si="24" ref="AM13:AM20">AK13-AL13</f>
        <v>0</v>
      </c>
      <c r="AN13" s="24">
        <v>1200</v>
      </c>
      <c r="AO13" s="79">
        <v>1200</v>
      </c>
      <c r="AP13" s="485">
        <f t="shared" si="7"/>
        <v>0</v>
      </c>
      <c r="AQ13" s="77">
        <f t="shared" si="8"/>
        <v>3600</v>
      </c>
      <c r="AR13" s="495"/>
      <c r="AS13" s="265"/>
      <c r="AT13" s="341">
        <v>1524.54</v>
      </c>
      <c r="AU13" s="364">
        <v>1200</v>
      </c>
      <c r="AV13" s="471">
        <v>300</v>
      </c>
      <c r="AW13" s="463">
        <f aca="true" t="shared" si="25" ref="AW13:AW20">AU13+AV13</f>
        <v>1500</v>
      </c>
      <c r="AX13" s="364">
        <f>AS13+AW13</f>
        <v>1500</v>
      </c>
      <c r="AY13" s="364">
        <v>1200</v>
      </c>
      <c r="AZ13" s="471">
        <v>300</v>
      </c>
      <c r="BA13" s="463">
        <f aca="true" t="shared" si="26" ref="BA13:BA20">AY13+AZ13</f>
        <v>1500</v>
      </c>
      <c r="BB13" s="364">
        <v>381.85488027999963</v>
      </c>
      <c r="BC13" s="471">
        <f aca="true" t="shared" si="27" ref="BC13:BC20">AT13-AV13-AZ13</f>
        <v>924.54</v>
      </c>
      <c r="BD13" s="463">
        <f aca="true" t="shared" si="28" ref="BD13:BD20">BB13+BC13</f>
        <v>1306.3948802799996</v>
      </c>
      <c r="BE13" s="77">
        <f aca="true" t="shared" si="29" ref="BE13:BE20">AW13+BA13+BD13</f>
        <v>4306.39488028</v>
      </c>
      <c r="BF13" s="416">
        <f aca="true" t="shared" si="30" ref="BF13:BF20">S13+AG13+AQ13+BE13</f>
        <v>14866.39488028</v>
      </c>
      <c r="BG13" s="149">
        <f t="shared" si="9"/>
        <v>10560</v>
      </c>
      <c r="BH13" s="87"/>
    </row>
    <row r="14" spans="1:60" s="27" customFormat="1" ht="21" customHeight="1">
      <c r="A14" s="4">
        <v>10</v>
      </c>
      <c r="B14" s="56" t="s">
        <v>22</v>
      </c>
      <c r="C14" s="149">
        <v>8160</v>
      </c>
      <c r="D14" s="24">
        <v>723.31</v>
      </c>
      <c r="E14" s="101">
        <v>720</v>
      </c>
      <c r="F14" s="32">
        <f t="shared" si="12"/>
        <v>3.3099999999999454</v>
      </c>
      <c r="G14" s="32"/>
      <c r="H14" s="24">
        <v>721.18</v>
      </c>
      <c r="I14" s="23"/>
      <c r="J14" s="181">
        <f t="shared" si="13"/>
        <v>721.18</v>
      </c>
      <c r="K14" s="45">
        <v>720</v>
      </c>
      <c r="L14" s="32">
        <f t="shared" si="14"/>
        <v>1.17999999999995</v>
      </c>
      <c r="M14" s="32"/>
      <c r="N14" s="33">
        <v>721.18</v>
      </c>
      <c r="O14" s="32"/>
      <c r="P14" s="298">
        <f t="shared" si="15"/>
        <v>721.18</v>
      </c>
      <c r="Q14" s="45">
        <v>720</v>
      </c>
      <c r="R14" s="32">
        <f t="shared" si="16"/>
        <v>1.17999999999995</v>
      </c>
      <c r="S14" s="77">
        <f t="shared" si="17"/>
        <v>2160</v>
      </c>
      <c r="T14" s="315">
        <v>728.46</v>
      </c>
      <c r="U14" s="337">
        <v>480</v>
      </c>
      <c r="V14" s="315">
        <f t="shared" si="18"/>
        <v>248.46000000000004</v>
      </c>
      <c r="W14" s="265">
        <v>0</v>
      </c>
      <c r="X14" s="315"/>
      <c r="Y14" s="341">
        <v>4720.54</v>
      </c>
      <c r="Z14" s="83">
        <v>660</v>
      </c>
      <c r="AA14" s="393">
        <f t="shared" si="19"/>
        <v>660</v>
      </c>
      <c r="AB14" s="396">
        <v>660</v>
      </c>
      <c r="AC14" s="395">
        <f t="shared" si="20"/>
        <v>0</v>
      </c>
      <c r="AD14" s="364">
        <v>660</v>
      </c>
      <c r="AE14" s="79">
        <v>660</v>
      </c>
      <c r="AF14" s="364">
        <f t="shared" si="21"/>
        <v>0</v>
      </c>
      <c r="AG14" s="77">
        <f t="shared" si="22"/>
        <v>1800</v>
      </c>
      <c r="AH14" s="83">
        <v>660</v>
      </c>
      <c r="AI14" s="79">
        <v>420</v>
      </c>
      <c r="AJ14" s="83">
        <f t="shared" si="23"/>
        <v>240</v>
      </c>
      <c r="AK14" s="83">
        <v>660</v>
      </c>
      <c r="AL14" s="428">
        <v>660</v>
      </c>
      <c r="AM14" s="425">
        <f t="shared" si="24"/>
        <v>0</v>
      </c>
      <c r="AN14" s="24">
        <v>660</v>
      </c>
      <c r="AO14" s="79">
        <v>660</v>
      </c>
      <c r="AP14" s="87">
        <f t="shared" si="7"/>
        <v>0</v>
      </c>
      <c r="AQ14" s="77">
        <f t="shared" si="8"/>
        <v>1740</v>
      </c>
      <c r="AR14" s="315"/>
      <c r="AS14" s="265"/>
      <c r="AT14" s="341">
        <v>866.87</v>
      </c>
      <c r="AU14" s="364">
        <v>660</v>
      </c>
      <c r="AV14" s="471">
        <v>240</v>
      </c>
      <c r="AW14" s="463">
        <f t="shared" si="25"/>
        <v>900</v>
      </c>
      <c r="AX14" s="364">
        <f>AS14+AW14</f>
        <v>900</v>
      </c>
      <c r="AY14" s="364">
        <v>660</v>
      </c>
      <c r="AZ14" s="471">
        <v>240</v>
      </c>
      <c r="BA14" s="463">
        <f t="shared" si="26"/>
        <v>900</v>
      </c>
      <c r="BB14" s="364">
        <v>100.53673324000101</v>
      </c>
      <c r="BC14" s="471">
        <f t="shared" si="27"/>
        <v>386.87</v>
      </c>
      <c r="BD14" s="463">
        <f t="shared" si="28"/>
        <v>487.406733240001</v>
      </c>
      <c r="BE14" s="77">
        <f t="shared" si="29"/>
        <v>2287.406733240001</v>
      </c>
      <c r="BF14" s="416">
        <f t="shared" si="30"/>
        <v>7987.406733240001</v>
      </c>
      <c r="BG14" s="149">
        <f t="shared" si="9"/>
        <v>5700</v>
      </c>
      <c r="BH14" s="87"/>
    </row>
    <row r="15" spans="1:60" s="27" customFormat="1" ht="22.5" customHeight="1">
      <c r="A15" s="4">
        <v>11</v>
      </c>
      <c r="B15" s="56" t="s">
        <v>17</v>
      </c>
      <c r="C15" s="149">
        <v>10140</v>
      </c>
      <c r="D15" s="24">
        <v>897.38</v>
      </c>
      <c r="E15" s="101">
        <v>840</v>
      </c>
      <c r="F15" s="32">
        <f t="shared" si="12"/>
        <v>57.379999999999995</v>
      </c>
      <c r="G15" s="32"/>
      <c r="H15" s="24">
        <v>894.73</v>
      </c>
      <c r="I15" s="23"/>
      <c r="J15" s="181">
        <f t="shared" si="13"/>
        <v>894.73</v>
      </c>
      <c r="K15" s="45">
        <v>840</v>
      </c>
      <c r="L15" s="32">
        <f t="shared" si="14"/>
        <v>54.73000000000002</v>
      </c>
      <c r="M15" s="32"/>
      <c r="N15" s="33">
        <v>894.73</v>
      </c>
      <c r="O15" s="32"/>
      <c r="P15" s="298">
        <f t="shared" si="15"/>
        <v>894.73</v>
      </c>
      <c r="Q15" s="45">
        <v>840</v>
      </c>
      <c r="R15" s="32">
        <f t="shared" si="16"/>
        <v>54.73000000000002</v>
      </c>
      <c r="S15" s="77">
        <f t="shared" si="17"/>
        <v>2520</v>
      </c>
      <c r="T15" s="315">
        <v>903.77</v>
      </c>
      <c r="U15" s="337">
        <v>900</v>
      </c>
      <c r="V15" s="315">
        <f t="shared" si="18"/>
        <v>3.769999999999982</v>
      </c>
      <c r="W15" s="265">
        <v>0</v>
      </c>
      <c r="X15" s="315"/>
      <c r="Y15" s="341">
        <v>5856.55</v>
      </c>
      <c r="Z15" s="83">
        <v>780</v>
      </c>
      <c r="AA15" s="393">
        <f t="shared" si="19"/>
        <v>780</v>
      </c>
      <c r="AB15" s="396">
        <v>780</v>
      </c>
      <c r="AC15" s="395">
        <f t="shared" si="20"/>
        <v>0</v>
      </c>
      <c r="AD15" s="364">
        <v>780</v>
      </c>
      <c r="AE15" s="79">
        <v>780</v>
      </c>
      <c r="AF15" s="364">
        <f t="shared" si="21"/>
        <v>0</v>
      </c>
      <c r="AG15" s="77">
        <f t="shared" si="22"/>
        <v>2460</v>
      </c>
      <c r="AH15" s="83">
        <v>780</v>
      </c>
      <c r="AI15" s="79">
        <v>780</v>
      </c>
      <c r="AJ15" s="83">
        <f t="shared" si="23"/>
        <v>0</v>
      </c>
      <c r="AK15" s="83">
        <v>780</v>
      </c>
      <c r="AL15" s="428">
        <v>720</v>
      </c>
      <c r="AM15" s="425">
        <f t="shared" si="24"/>
        <v>60</v>
      </c>
      <c r="AN15" s="24">
        <v>780</v>
      </c>
      <c r="AO15" s="79">
        <v>780</v>
      </c>
      <c r="AP15" s="87">
        <f t="shared" si="7"/>
        <v>0</v>
      </c>
      <c r="AQ15" s="77">
        <f t="shared" si="8"/>
        <v>2280</v>
      </c>
      <c r="AR15" s="315"/>
      <c r="AS15" s="265"/>
      <c r="AT15" s="341">
        <v>1075.49</v>
      </c>
      <c r="AU15" s="364">
        <v>780</v>
      </c>
      <c r="AV15" s="471">
        <v>420</v>
      </c>
      <c r="AW15" s="463">
        <f t="shared" si="25"/>
        <v>1200</v>
      </c>
      <c r="AX15" s="364">
        <f aca="true" t="shared" si="31" ref="AX15:AX20">AS15+AW15</f>
        <v>1200</v>
      </c>
      <c r="AY15" s="364">
        <v>780</v>
      </c>
      <c r="AZ15" s="471">
        <v>420</v>
      </c>
      <c r="BA15" s="463">
        <f t="shared" si="26"/>
        <v>1200</v>
      </c>
      <c r="BB15" s="364">
        <v>396.54625300000043</v>
      </c>
      <c r="BC15" s="471">
        <f t="shared" si="27"/>
        <v>235.49</v>
      </c>
      <c r="BD15" s="463">
        <f t="shared" si="28"/>
        <v>632.0362530000004</v>
      </c>
      <c r="BE15" s="77">
        <f t="shared" si="29"/>
        <v>3032.036253</v>
      </c>
      <c r="BF15" s="416">
        <f t="shared" si="30"/>
        <v>10292.036253</v>
      </c>
      <c r="BG15" s="149">
        <f t="shared" si="9"/>
        <v>7260</v>
      </c>
      <c r="BH15" s="87"/>
    </row>
    <row r="16" spans="1:60" s="27" customFormat="1" ht="22.5" customHeight="1">
      <c r="A16" s="4">
        <v>12</v>
      </c>
      <c r="B16" s="56" t="s">
        <v>20</v>
      </c>
      <c r="C16" s="149">
        <v>8220</v>
      </c>
      <c r="D16" s="24">
        <v>730.2</v>
      </c>
      <c r="E16" s="101">
        <v>660</v>
      </c>
      <c r="F16" s="32">
        <f t="shared" si="12"/>
        <v>70.20000000000005</v>
      </c>
      <c r="G16" s="32"/>
      <c r="H16" s="24">
        <v>728.04</v>
      </c>
      <c r="I16" s="23"/>
      <c r="J16" s="181">
        <f t="shared" si="13"/>
        <v>728.04</v>
      </c>
      <c r="K16" s="45">
        <v>720</v>
      </c>
      <c r="L16" s="32">
        <f t="shared" si="14"/>
        <v>8.039999999999964</v>
      </c>
      <c r="M16" s="32"/>
      <c r="N16" s="33">
        <v>728.04</v>
      </c>
      <c r="O16" s="32"/>
      <c r="P16" s="298">
        <f t="shared" si="15"/>
        <v>728.04</v>
      </c>
      <c r="Q16" s="45">
        <v>660</v>
      </c>
      <c r="R16" s="32">
        <f t="shared" si="16"/>
        <v>68.03999999999996</v>
      </c>
      <c r="S16" s="77">
        <f t="shared" si="17"/>
        <v>2040</v>
      </c>
      <c r="T16" s="315">
        <v>735.39</v>
      </c>
      <c r="U16" s="337">
        <v>180</v>
      </c>
      <c r="V16" s="315">
        <f t="shared" si="18"/>
        <v>555.39</v>
      </c>
      <c r="W16" s="265">
        <v>0</v>
      </c>
      <c r="X16" s="315"/>
      <c r="Y16" s="341">
        <v>4765.46</v>
      </c>
      <c r="Z16" s="83">
        <v>660</v>
      </c>
      <c r="AA16" s="393">
        <f t="shared" si="19"/>
        <v>660</v>
      </c>
      <c r="AB16" s="396">
        <v>660</v>
      </c>
      <c r="AC16" s="395">
        <f t="shared" si="20"/>
        <v>0</v>
      </c>
      <c r="AD16" s="364">
        <v>660</v>
      </c>
      <c r="AE16" s="79">
        <v>660</v>
      </c>
      <c r="AF16" s="364">
        <f t="shared" si="21"/>
        <v>0</v>
      </c>
      <c r="AG16" s="77">
        <f t="shared" si="22"/>
        <v>1500</v>
      </c>
      <c r="AH16" s="83">
        <v>660</v>
      </c>
      <c r="AI16" s="79">
        <v>660</v>
      </c>
      <c r="AJ16" s="83">
        <f t="shared" si="23"/>
        <v>0</v>
      </c>
      <c r="AK16" s="83">
        <v>660</v>
      </c>
      <c r="AL16" s="428">
        <v>660</v>
      </c>
      <c r="AM16" s="425">
        <f t="shared" si="24"/>
        <v>0</v>
      </c>
      <c r="AN16" s="24">
        <v>660</v>
      </c>
      <c r="AO16" s="79">
        <v>600</v>
      </c>
      <c r="AP16" s="87">
        <f t="shared" si="7"/>
        <v>60</v>
      </c>
      <c r="AQ16" s="77">
        <f t="shared" si="8"/>
        <v>1920</v>
      </c>
      <c r="AR16" s="315"/>
      <c r="AS16" s="265"/>
      <c r="AT16" s="341">
        <v>875.12</v>
      </c>
      <c r="AU16" s="364">
        <v>660</v>
      </c>
      <c r="AV16" s="471">
        <v>240</v>
      </c>
      <c r="AW16" s="463">
        <f t="shared" si="25"/>
        <v>900</v>
      </c>
      <c r="AX16" s="364">
        <f t="shared" si="31"/>
        <v>900</v>
      </c>
      <c r="AY16" s="364">
        <v>660</v>
      </c>
      <c r="AZ16" s="471">
        <v>240</v>
      </c>
      <c r="BA16" s="463">
        <f t="shared" si="26"/>
        <v>900</v>
      </c>
      <c r="BB16" s="364">
        <v>145.46366339999986</v>
      </c>
      <c r="BC16" s="471">
        <f t="shared" si="27"/>
        <v>395.12</v>
      </c>
      <c r="BD16" s="463">
        <f t="shared" si="28"/>
        <v>540.5836633999999</v>
      </c>
      <c r="BE16" s="77">
        <f t="shared" si="29"/>
        <v>2340.5836633999998</v>
      </c>
      <c r="BF16" s="416">
        <f t="shared" si="30"/>
        <v>7800.5836634</v>
      </c>
      <c r="BG16" s="149">
        <f t="shared" si="9"/>
        <v>5460</v>
      </c>
      <c r="BH16" s="87"/>
    </row>
    <row r="17" spans="1:60" s="5" customFormat="1" ht="23.25" customHeight="1">
      <c r="A17" s="4">
        <v>13</v>
      </c>
      <c r="B17" s="56" t="s">
        <v>23</v>
      </c>
      <c r="C17" s="149">
        <v>32145</v>
      </c>
      <c r="D17" s="24">
        <v>2655.27</v>
      </c>
      <c r="E17" s="101">
        <v>2655</v>
      </c>
      <c r="F17" s="32">
        <f t="shared" si="12"/>
        <v>0.2699999999999818</v>
      </c>
      <c r="G17" s="32"/>
      <c r="H17" s="24">
        <v>2647.42</v>
      </c>
      <c r="I17" s="24"/>
      <c r="J17" s="181">
        <f t="shared" si="13"/>
        <v>2647.42</v>
      </c>
      <c r="K17" s="74">
        <v>2640</v>
      </c>
      <c r="L17" s="32">
        <f t="shared" si="14"/>
        <v>7.420000000000073</v>
      </c>
      <c r="M17" s="32"/>
      <c r="N17" s="33">
        <v>2647.42</v>
      </c>
      <c r="O17" s="32"/>
      <c r="P17" s="298">
        <f t="shared" si="15"/>
        <v>2647.42</v>
      </c>
      <c r="Q17" s="45">
        <v>2640</v>
      </c>
      <c r="R17" s="32">
        <f t="shared" si="16"/>
        <v>7.420000000000073</v>
      </c>
      <c r="S17" s="77">
        <f t="shared" si="17"/>
        <v>7935</v>
      </c>
      <c r="T17" s="315">
        <v>2674.16</v>
      </c>
      <c r="U17" s="337">
        <v>2670</v>
      </c>
      <c r="V17" s="315">
        <f t="shared" si="18"/>
        <v>4.1599999999998545</v>
      </c>
      <c r="W17" s="265">
        <v>0</v>
      </c>
      <c r="X17" s="315"/>
      <c r="Y17" s="341">
        <v>17328.96</v>
      </c>
      <c r="Z17" s="83">
        <v>2400</v>
      </c>
      <c r="AA17" s="393">
        <f t="shared" si="19"/>
        <v>2400</v>
      </c>
      <c r="AB17" s="396">
        <v>2400</v>
      </c>
      <c r="AC17" s="395">
        <f t="shared" si="20"/>
        <v>0</v>
      </c>
      <c r="AD17" s="364">
        <v>2400</v>
      </c>
      <c r="AE17" s="79">
        <v>2400</v>
      </c>
      <c r="AF17" s="364">
        <f t="shared" si="21"/>
        <v>0</v>
      </c>
      <c r="AG17" s="77">
        <f t="shared" si="22"/>
        <v>7470</v>
      </c>
      <c r="AH17" s="83">
        <v>2400</v>
      </c>
      <c r="AI17" s="79">
        <v>2400</v>
      </c>
      <c r="AJ17" s="83">
        <f t="shared" si="23"/>
        <v>0</v>
      </c>
      <c r="AK17" s="83">
        <v>2400</v>
      </c>
      <c r="AL17" s="428">
        <v>2400</v>
      </c>
      <c r="AM17" s="425">
        <f t="shared" si="24"/>
        <v>0</v>
      </c>
      <c r="AN17" s="24">
        <v>2400</v>
      </c>
      <c r="AO17" s="79">
        <v>2400</v>
      </c>
      <c r="AP17" s="87">
        <f t="shared" si="7"/>
        <v>0</v>
      </c>
      <c r="AQ17" s="77">
        <f t="shared" si="8"/>
        <v>7200</v>
      </c>
      <c r="AR17" s="315"/>
      <c r="AS17" s="265"/>
      <c r="AT17" s="341">
        <v>3182.26</v>
      </c>
      <c r="AU17" s="364">
        <v>2400</v>
      </c>
      <c r="AV17" s="471">
        <v>525</v>
      </c>
      <c r="AW17" s="463">
        <f t="shared" si="25"/>
        <v>2925</v>
      </c>
      <c r="AX17" s="364">
        <f t="shared" si="31"/>
        <v>2925</v>
      </c>
      <c r="AY17" s="364">
        <v>2400</v>
      </c>
      <c r="AZ17" s="471">
        <v>525</v>
      </c>
      <c r="BA17" s="463">
        <f t="shared" si="26"/>
        <v>2925</v>
      </c>
      <c r="BB17" s="364">
        <v>528.9587760000031</v>
      </c>
      <c r="BC17" s="471">
        <f t="shared" si="27"/>
        <v>2132.26</v>
      </c>
      <c r="BD17" s="463">
        <f t="shared" si="28"/>
        <v>2661.2187760000033</v>
      </c>
      <c r="BE17" s="77">
        <f t="shared" si="29"/>
        <v>8511.218776000003</v>
      </c>
      <c r="BF17" s="416">
        <f t="shared" si="30"/>
        <v>31116.218776</v>
      </c>
      <c r="BG17" s="149">
        <f t="shared" si="9"/>
        <v>22605</v>
      </c>
      <c r="BH17" s="87"/>
    </row>
    <row r="18" spans="1:60" s="27" customFormat="1" ht="22.5" customHeight="1">
      <c r="A18" s="4">
        <v>14</v>
      </c>
      <c r="B18" s="56" t="s">
        <v>14</v>
      </c>
      <c r="C18" s="149">
        <v>25740</v>
      </c>
      <c r="D18" s="24">
        <v>2311.07</v>
      </c>
      <c r="E18" s="101">
        <v>2280</v>
      </c>
      <c r="F18" s="32">
        <f t="shared" si="12"/>
        <v>31.070000000000164</v>
      </c>
      <c r="G18" s="32"/>
      <c r="H18" s="24">
        <v>2304.23</v>
      </c>
      <c r="I18" s="23"/>
      <c r="J18" s="181">
        <f t="shared" si="13"/>
        <v>2304.23</v>
      </c>
      <c r="K18" s="45">
        <v>0</v>
      </c>
      <c r="L18" s="32">
        <f t="shared" si="14"/>
        <v>2304.23</v>
      </c>
      <c r="M18" s="32"/>
      <c r="N18" s="33">
        <v>2304.23</v>
      </c>
      <c r="O18" s="32"/>
      <c r="P18" s="298">
        <f t="shared" si="15"/>
        <v>2304.23</v>
      </c>
      <c r="Q18" s="45">
        <v>2280</v>
      </c>
      <c r="R18" s="32">
        <f t="shared" si="16"/>
        <v>24.230000000000018</v>
      </c>
      <c r="S18" s="77">
        <f t="shared" si="17"/>
        <v>4560</v>
      </c>
      <c r="T18" s="315">
        <v>2327.51</v>
      </c>
      <c r="U18" s="337">
        <v>1940</v>
      </c>
      <c r="V18" s="315">
        <f t="shared" si="18"/>
        <v>387.5100000000002</v>
      </c>
      <c r="W18" s="265">
        <v>0</v>
      </c>
      <c r="X18" s="315"/>
      <c r="Y18" s="341">
        <v>15082.61</v>
      </c>
      <c r="Z18" s="83">
        <v>2220</v>
      </c>
      <c r="AA18" s="393">
        <f t="shared" si="19"/>
        <v>2220</v>
      </c>
      <c r="AB18" s="396">
        <v>2160</v>
      </c>
      <c r="AC18" s="395">
        <f t="shared" si="20"/>
        <v>60</v>
      </c>
      <c r="AD18" s="364">
        <v>2220</v>
      </c>
      <c r="AE18" s="79">
        <v>2180</v>
      </c>
      <c r="AF18" s="364">
        <f t="shared" si="21"/>
        <v>40</v>
      </c>
      <c r="AG18" s="77">
        <f t="shared" si="22"/>
        <v>6280</v>
      </c>
      <c r="AH18" s="83">
        <v>2220</v>
      </c>
      <c r="AI18" s="79">
        <v>2220</v>
      </c>
      <c r="AJ18" s="83">
        <f t="shared" si="23"/>
        <v>0</v>
      </c>
      <c r="AK18" s="83">
        <v>2220</v>
      </c>
      <c r="AL18" s="428">
        <v>2180</v>
      </c>
      <c r="AM18" s="425">
        <f t="shared" si="24"/>
        <v>40</v>
      </c>
      <c r="AN18" s="24">
        <v>2220</v>
      </c>
      <c r="AO18" s="79">
        <v>1340</v>
      </c>
      <c r="AP18" s="87">
        <f t="shared" si="7"/>
        <v>880</v>
      </c>
      <c r="AQ18" s="77">
        <f t="shared" si="8"/>
        <v>5740</v>
      </c>
      <c r="AR18" s="315"/>
      <c r="AS18" s="265"/>
      <c r="AT18" s="341">
        <v>2769.74</v>
      </c>
      <c r="AU18" s="364">
        <v>2220</v>
      </c>
      <c r="AV18" s="471">
        <v>380</v>
      </c>
      <c r="AW18" s="463">
        <f t="shared" si="25"/>
        <v>2600</v>
      </c>
      <c r="AX18" s="364">
        <f t="shared" si="31"/>
        <v>2600</v>
      </c>
      <c r="AY18" s="364">
        <v>1762.6122680000008</v>
      </c>
      <c r="AZ18" s="471">
        <v>838</v>
      </c>
      <c r="BA18" s="463">
        <f t="shared" si="26"/>
        <v>2600.6122680000008</v>
      </c>
      <c r="BB18" s="364">
        <v>0</v>
      </c>
      <c r="BC18" s="471">
        <f t="shared" si="27"/>
        <v>1551.7399999999998</v>
      </c>
      <c r="BD18" s="463">
        <f t="shared" si="28"/>
        <v>1551.7399999999998</v>
      </c>
      <c r="BE18" s="77">
        <f t="shared" si="29"/>
        <v>6752.352268000001</v>
      </c>
      <c r="BF18" s="416">
        <f t="shared" si="30"/>
        <v>23332.352268000002</v>
      </c>
      <c r="BG18" s="149">
        <f t="shared" si="9"/>
        <v>16580</v>
      </c>
      <c r="BH18" s="87"/>
    </row>
    <row r="19" spans="1:60" s="5" customFormat="1" ht="22.5" customHeight="1">
      <c r="A19" s="4">
        <v>15</v>
      </c>
      <c r="B19" s="56" t="s">
        <v>24</v>
      </c>
      <c r="C19" s="149">
        <v>6000</v>
      </c>
      <c r="D19" s="24">
        <v>1425.98</v>
      </c>
      <c r="E19" s="101">
        <v>420</v>
      </c>
      <c r="F19" s="32">
        <f t="shared" si="12"/>
        <v>1005.98</v>
      </c>
      <c r="G19" s="32"/>
      <c r="H19" s="24">
        <v>1421.76</v>
      </c>
      <c r="I19" s="23"/>
      <c r="J19" s="181">
        <f t="shared" si="13"/>
        <v>1421.76</v>
      </c>
      <c r="K19" s="45">
        <v>720</v>
      </c>
      <c r="L19" s="32">
        <f t="shared" si="14"/>
        <v>701.76</v>
      </c>
      <c r="M19" s="32"/>
      <c r="N19" s="33">
        <v>1421.76</v>
      </c>
      <c r="O19" s="32"/>
      <c r="P19" s="298">
        <f t="shared" si="15"/>
        <v>1421.76</v>
      </c>
      <c r="Q19" s="45">
        <v>630</v>
      </c>
      <c r="R19" s="32">
        <f t="shared" si="16"/>
        <v>791.76</v>
      </c>
      <c r="S19" s="77">
        <f t="shared" si="17"/>
        <v>1770</v>
      </c>
      <c r="T19" s="315">
        <v>1436.12</v>
      </c>
      <c r="U19" s="337">
        <v>450</v>
      </c>
      <c r="V19" s="315">
        <f t="shared" si="18"/>
        <v>986.1199999999999</v>
      </c>
      <c r="W19" s="265">
        <v>0</v>
      </c>
      <c r="X19" s="315"/>
      <c r="Y19" s="341">
        <v>9306.29</v>
      </c>
      <c r="Z19" s="83">
        <v>820</v>
      </c>
      <c r="AA19" s="393">
        <f t="shared" si="19"/>
        <v>820</v>
      </c>
      <c r="AB19" s="396">
        <v>540</v>
      </c>
      <c r="AC19" s="395">
        <f t="shared" si="20"/>
        <v>280</v>
      </c>
      <c r="AD19" s="364">
        <v>820</v>
      </c>
      <c r="AE19" s="79">
        <v>480</v>
      </c>
      <c r="AF19" s="364">
        <f t="shared" si="21"/>
        <v>340</v>
      </c>
      <c r="AG19" s="77">
        <f t="shared" si="22"/>
        <v>1470</v>
      </c>
      <c r="AH19" s="83">
        <v>1300</v>
      </c>
      <c r="AI19" s="79">
        <v>480</v>
      </c>
      <c r="AJ19" s="83">
        <f t="shared" si="23"/>
        <v>820</v>
      </c>
      <c r="AK19" s="83">
        <v>1300</v>
      </c>
      <c r="AL19" s="428">
        <v>630</v>
      </c>
      <c r="AM19" s="425">
        <f t="shared" si="24"/>
        <v>670</v>
      </c>
      <c r="AN19" s="24">
        <v>1300</v>
      </c>
      <c r="AO19" s="79">
        <v>510</v>
      </c>
      <c r="AP19" s="87">
        <f t="shared" si="7"/>
        <v>790</v>
      </c>
      <c r="AQ19" s="77">
        <f t="shared" si="8"/>
        <v>1620</v>
      </c>
      <c r="AR19" s="315"/>
      <c r="AS19" s="265"/>
      <c r="AT19" s="341">
        <v>1708.99</v>
      </c>
      <c r="AU19" s="364">
        <v>1500</v>
      </c>
      <c r="AV19" s="471">
        <v>700</v>
      </c>
      <c r="AW19" s="463">
        <f t="shared" si="25"/>
        <v>2200</v>
      </c>
      <c r="AX19" s="364">
        <f t="shared" si="31"/>
        <v>2200</v>
      </c>
      <c r="AY19" s="364">
        <v>1500</v>
      </c>
      <c r="AZ19" s="471">
        <v>700</v>
      </c>
      <c r="BA19" s="463">
        <f t="shared" si="26"/>
        <v>2200</v>
      </c>
      <c r="BB19" s="364">
        <v>766.2926760000009</v>
      </c>
      <c r="BC19" s="471">
        <f t="shared" si="27"/>
        <v>308.99</v>
      </c>
      <c r="BD19" s="463">
        <f t="shared" si="28"/>
        <v>1075.282676000001</v>
      </c>
      <c r="BE19" s="77">
        <f t="shared" si="29"/>
        <v>5475.282676000001</v>
      </c>
      <c r="BF19" s="416">
        <f t="shared" si="30"/>
        <v>10335.282676</v>
      </c>
      <c r="BG19" s="149">
        <f t="shared" si="9"/>
        <v>4860</v>
      </c>
      <c r="BH19" s="87"/>
    </row>
    <row r="20" spans="1:60" s="5" customFormat="1" ht="22.5" customHeight="1" thickBot="1">
      <c r="A20" s="4">
        <v>16</v>
      </c>
      <c r="B20" s="56" t="s">
        <v>25</v>
      </c>
      <c r="C20" s="149">
        <v>77425</v>
      </c>
      <c r="D20" s="30">
        <v>4731.79</v>
      </c>
      <c r="E20" s="102">
        <v>4725</v>
      </c>
      <c r="F20" s="32">
        <f t="shared" si="12"/>
        <v>6.789999999999964</v>
      </c>
      <c r="G20" s="63"/>
      <c r="H20" s="30">
        <v>4717.78</v>
      </c>
      <c r="I20" s="54"/>
      <c r="J20" s="260">
        <f t="shared" si="13"/>
        <v>4717.78</v>
      </c>
      <c r="K20" s="46">
        <v>4710</v>
      </c>
      <c r="L20" s="32">
        <f t="shared" si="14"/>
        <v>7.779999999999745</v>
      </c>
      <c r="M20" s="63"/>
      <c r="N20" s="34">
        <v>4717.78</v>
      </c>
      <c r="O20" s="63"/>
      <c r="P20" s="298">
        <f t="shared" si="15"/>
        <v>4717.78</v>
      </c>
      <c r="Q20" s="46">
        <v>4695</v>
      </c>
      <c r="R20" s="32">
        <f t="shared" si="16"/>
        <v>22.779999999999745</v>
      </c>
      <c r="S20" s="77">
        <f t="shared" si="17"/>
        <v>14130</v>
      </c>
      <c r="T20" s="315">
        <v>4765.45</v>
      </c>
      <c r="U20" s="338">
        <v>4760</v>
      </c>
      <c r="V20" s="315">
        <f t="shared" si="18"/>
        <v>5.449999999999818</v>
      </c>
      <c r="W20" s="265">
        <v>0</v>
      </c>
      <c r="X20" s="380"/>
      <c r="Y20" s="342">
        <v>68994.94</v>
      </c>
      <c r="Z20" s="365">
        <v>9000</v>
      </c>
      <c r="AA20" s="393">
        <f t="shared" si="19"/>
        <v>9000</v>
      </c>
      <c r="AB20" s="396">
        <v>9000</v>
      </c>
      <c r="AC20" s="395">
        <f t="shared" si="20"/>
        <v>0</v>
      </c>
      <c r="AD20" s="364">
        <v>9000</v>
      </c>
      <c r="AE20" s="79">
        <v>8995</v>
      </c>
      <c r="AF20" s="364">
        <f t="shared" si="21"/>
        <v>5</v>
      </c>
      <c r="AG20" s="77">
        <f t="shared" si="22"/>
        <v>22755</v>
      </c>
      <c r="AH20" s="365">
        <v>9000</v>
      </c>
      <c r="AI20" s="417">
        <v>9000</v>
      </c>
      <c r="AJ20" s="83">
        <f t="shared" si="23"/>
        <v>0</v>
      </c>
      <c r="AK20" s="366">
        <v>9000</v>
      </c>
      <c r="AL20" s="430">
        <v>8980</v>
      </c>
      <c r="AM20" s="425">
        <f t="shared" si="24"/>
        <v>20</v>
      </c>
      <c r="AN20" s="24">
        <v>9000</v>
      </c>
      <c r="AO20" s="482">
        <v>8990</v>
      </c>
      <c r="AP20" s="87">
        <f t="shared" si="7"/>
        <v>10</v>
      </c>
      <c r="AQ20" s="77">
        <f t="shared" si="8"/>
        <v>26970</v>
      </c>
      <c r="AR20" s="380"/>
      <c r="AS20" s="502"/>
      <c r="AT20" s="467">
        <v>12670.1</v>
      </c>
      <c r="AU20" s="469">
        <v>9000</v>
      </c>
      <c r="AV20" s="473">
        <v>5000</v>
      </c>
      <c r="AW20" s="463">
        <f t="shared" si="25"/>
        <v>14000</v>
      </c>
      <c r="AX20" s="364">
        <f t="shared" si="31"/>
        <v>14000</v>
      </c>
      <c r="AY20" s="461">
        <v>9000</v>
      </c>
      <c r="AZ20" s="473">
        <v>5000</v>
      </c>
      <c r="BA20" s="463">
        <f t="shared" si="26"/>
        <v>14000</v>
      </c>
      <c r="BB20" s="364">
        <v>5994.92846000001</v>
      </c>
      <c r="BC20" s="471">
        <f t="shared" si="27"/>
        <v>2670.1000000000004</v>
      </c>
      <c r="BD20" s="463">
        <f t="shared" si="28"/>
        <v>8665.02846000001</v>
      </c>
      <c r="BE20" s="77">
        <f t="shared" si="29"/>
        <v>36665.02846000001</v>
      </c>
      <c r="BF20" s="416">
        <f t="shared" si="30"/>
        <v>100520.02846</v>
      </c>
      <c r="BG20" s="149">
        <f t="shared" si="9"/>
        <v>63855</v>
      </c>
      <c r="BH20" s="87"/>
    </row>
    <row r="21" spans="1:60" s="10" customFormat="1" ht="23.25" customHeight="1">
      <c r="A21" s="64"/>
      <c r="B21" s="126" t="s">
        <v>12</v>
      </c>
      <c r="C21" s="48">
        <v>185230</v>
      </c>
      <c r="D21" s="48">
        <f aca="true" t="shared" si="32" ref="D21:AI21">SUM(D13:D20)</f>
        <v>14747.07</v>
      </c>
      <c r="E21" s="48">
        <f t="shared" si="32"/>
        <v>13560</v>
      </c>
      <c r="F21" s="48">
        <f t="shared" si="32"/>
        <v>1187.0700000000002</v>
      </c>
      <c r="G21" s="48">
        <f t="shared" si="32"/>
        <v>0</v>
      </c>
      <c r="H21" s="48">
        <f t="shared" si="32"/>
        <v>14703.45</v>
      </c>
      <c r="I21" s="48">
        <f t="shared" si="32"/>
        <v>0</v>
      </c>
      <c r="J21" s="48">
        <f t="shared" si="32"/>
        <v>14703.45</v>
      </c>
      <c r="K21" s="48">
        <f t="shared" si="32"/>
        <v>11610</v>
      </c>
      <c r="L21" s="48">
        <f t="shared" si="32"/>
        <v>3093.45</v>
      </c>
      <c r="M21" s="48">
        <f t="shared" si="32"/>
        <v>0</v>
      </c>
      <c r="N21" s="48">
        <f t="shared" si="32"/>
        <v>14703.45</v>
      </c>
      <c r="O21" s="48">
        <f t="shared" si="32"/>
        <v>0</v>
      </c>
      <c r="P21" s="48">
        <f t="shared" si="32"/>
        <v>14703.45</v>
      </c>
      <c r="Q21" s="48">
        <f t="shared" si="32"/>
        <v>13725</v>
      </c>
      <c r="R21" s="48">
        <f t="shared" si="32"/>
        <v>978.4499999999997</v>
      </c>
      <c r="S21" s="48">
        <f t="shared" si="32"/>
        <v>38895</v>
      </c>
      <c r="T21" s="141">
        <f t="shared" si="32"/>
        <v>14851.98</v>
      </c>
      <c r="U21" s="141">
        <f t="shared" si="32"/>
        <v>12640</v>
      </c>
      <c r="V21" s="141">
        <f t="shared" si="32"/>
        <v>2211.9799999999996</v>
      </c>
      <c r="W21" s="348">
        <f t="shared" si="32"/>
        <v>0</v>
      </c>
      <c r="X21" s="348">
        <f t="shared" si="32"/>
        <v>0</v>
      </c>
      <c r="Y21" s="348">
        <f t="shared" si="32"/>
        <v>134357.2</v>
      </c>
      <c r="Z21" s="348">
        <f t="shared" si="32"/>
        <v>17500</v>
      </c>
      <c r="AA21" s="348">
        <f t="shared" si="32"/>
        <v>17500</v>
      </c>
      <c r="AB21" s="348">
        <f t="shared" si="32"/>
        <v>17160</v>
      </c>
      <c r="AC21" s="367">
        <f t="shared" si="32"/>
        <v>340</v>
      </c>
      <c r="AD21" s="382">
        <f t="shared" si="32"/>
        <v>17500</v>
      </c>
      <c r="AE21" s="367">
        <f t="shared" si="32"/>
        <v>17115</v>
      </c>
      <c r="AF21" s="382">
        <f t="shared" si="32"/>
        <v>385</v>
      </c>
      <c r="AG21" s="367">
        <f t="shared" si="32"/>
        <v>46915</v>
      </c>
      <c r="AH21" s="367">
        <f t="shared" si="32"/>
        <v>18220</v>
      </c>
      <c r="AI21" s="367">
        <f t="shared" si="32"/>
        <v>17160</v>
      </c>
      <c r="AJ21" s="367">
        <f aca="true" t="shared" si="33" ref="AJ21:BH21">SUM(AJ13:AJ20)</f>
        <v>1060</v>
      </c>
      <c r="AK21" s="348">
        <f t="shared" si="33"/>
        <v>18220</v>
      </c>
      <c r="AL21" s="348">
        <f t="shared" si="33"/>
        <v>17430</v>
      </c>
      <c r="AM21" s="348">
        <f t="shared" si="33"/>
        <v>790</v>
      </c>
      <c r="AN21" s="348">
        <f t="shared" si="33"/>
        <v>18220</v>
      </c>
      <c r="AO21" s="348">
        <f>SUM(AO13:AO20)</f>
        <v>16480</v>
      </c>
      <c r="AP21" s="367">
        <f>SUM(AP13:AP20)</f>
        <v>1740</v>
      </c>
      <c r="AQ21" s="367">
        <f t="shared" si="33"/>
        <v>51070</v>
      </c>
      <c r="AR21" s="348">
        <f>SUM(AR13:AR20)</f>
        <v>0</v>
      </c>
      <c r="AS21" s="367">
        <f>SUM(AS13:AS20)</f>
        <v>0</v>
      </c>
      <c r="AT21" s="367">
        <f t="shared" si="33"/>
        <v>24673.11</v>
      </c>
      <c r="AU21" s="382">
        <f t="shared" si="33"/>
        <v>18420</v>
      </c>
      <c r="AV21" s="367">
        <f t="shared" si="33"/>
        <v>7805</v>
      </c>
      <c r="AW21" s="367">
        <f t="shared" si="33"/>
        <v>26225</v>
      </c>
      <c r="AX21" s="367">
        <f t="shared" si="33"/>
        <v>26225</v>
      </c>
      <c r="AY21" s="382">
        <f t="shared" si="33"/>
        <v>17962.612268</v>
      </c>
      <c r="AZ21" s="474">
        <f t="shared" si="33"/>
        <v>8263</v>
      </c>
      <c r="BA21" s="367">
        <f t="shared" si="33"/>
        <v>26225.612268</v>
      </c>
      <c r="BB21" s="382">
        <f t="shared" si="33"/>
        <v>8314.581441920014</v>
      </c>
      <c r="BC21" s="474">
        <f t="shared" si="33"/>
        <v>8605.11</v>
      </c>
      <c r="BD21" s="367">
        <f t="shared" si="33"/>
        <v>16919.691441920015</v>
      </c>
      <c r="BE21" s="367">
        <f t="shared" si="33"/>
        <v>69370.30370992002</v>
      </c>
      <c r="BF21" s="48">
        <f t="shared" si="33"/>
        <v>206250.30370992003</v>
      </c>
      <c r="BG21" s="237">
        <f t="shared" si="33"/>
        <v>136880</v>
      </c>
      <c r="BH21" s="48">
        <f t="shared" si="33"/>
        <v>0</v>
      </c>
    </row>
    <row r="22" spans="1:60" s="10" customFormat="1" ht="20.25" customHeight="1" thickBot="1">
      <c r="A22" s="65"/>
      <c r="B22" s="127" t="s">
        <v>43</v>
      </c>
      <c r="C22" s="49">
        <v>3290376</v>
      </c>
      <c r="D22" s="49">
        <f aca="true" t="shared" si="34" ref="D22:AI22">D12+D21</f>
        <v>200020.08000000002</v>
      </c>
      <c r="E22" s="49">
        <f t="shared" si="34"/>
        <v>257247</v>
      </c>
      <c r="F22" s="151">
        <f t="shared" si="34"/>
        <v>5312.620000000003</v>
      </c>
      <c r="G22" s="49">
        <f t="shared" si="34"/>
        <v>173459</v>
      </c>
      <c r="H22" s="49">
        <f t="shared" si="34"/>
        <v>195979.92</v>
      </c>
      <c r="I22" s="151">
        <f t="shared" si="34"/>
        <v>5312.620000000002</v>
      </c>
      <c r="J22" s="49">
        <f t="shared" si="34"/>
        <v>203238.79</v>
      </c>
      <c r="K22" s="49">
        <f t="shared" si="34"/>
        <v>245921</v>
      </c>
      <c r="L22" s="151">
        <f t="shared" si="34"/>
        <v>3103.814863649889</v>
      </c>
      <c r="M22" s="49">
        <f t="shared" si="34"/>
        <v>170588</v>
      </c>
      <c r="N22" s="49">
        <f t="shared" si="34"/>
        <v>196053.75000000003</v>
      </c>
      <c r="O22" s="151">
        <f t="shared" si="34"/>
        <v>3103.8148636498895</v>
      </c>
      <c r="P22" s="49">
        <f t="shared" si="34"/>
        <v>199186.6248636499</v>
      </c>
      <c r="Q22" s="49">
        <f t="shared" si="34"/>
        <v>367879</v>
      </c>
      <c r="R22" s="151">
        <f t="shared" si="34"/>
        <v>984.321827562543</v>
      </c>
      <c r="S22" s="49">
        <f t="shared" si="34"/>
        <v>871047</v>
      </c>
      <c r="T22" s="142">
        <f t="shared" si="34"/>
        <v>201948.6</v>
      </c>
      <c r="U22" s="142">
        <f t="shared" si="34"/>
        <v>193008</v>
      </c>
      <c r="V22" s="205">
        <f t="shared" si="34"/>
        <v>15540.600000000002</v>
      </c>
      <c r="W22" s="349">
        <f t="shared" si="34"/>
        <v>119625.25</v>
      </c>
      <c r="X22" s="388">
        <f t="shared" si="34"/>
        <v>16524.921827562546</v>
      </c>
      <c r="Y22" s="349">
        <f t="shared" si="34"/>
        <v>1282400</v>
      </c>
      <c r="Z22" s="349">
        <f t="shared" si="34"/>
        <v>193522.34000000003</v>
      </c>
      <c r="AA22" s="349">
        <f t="shared" si="34"/>
        <v>221542.42182756256</v>
      </c>
      <c r="AB22" s="349">
        <f t="shared" si="34"/>
        <v>305711</v>
      </c>
      <c r="AC22" s="151">
        <f t="shared" si="34"/>
        <v>341</v>
      </c>
      <c r="AD22" s="383">
        <f t="shared" si="34"/>
        <v>197340</v>
      </c>
      <c r="AE22" s="368">
        <f t="shared" si="34"/>
        <v>286584</v>
      </c>
      <c r="AF22" s="411">
        <f t="shared" si="34"/>
        <v>389</v>
      </c>
      <c r="AG22" s="368">
        <f t="shared" si="34"/>
        <v>785303</v>
      </c>
      <c r="AH22" s="368">
        <f t="shared" si="34"/>
        <v>184220</v>
      </c>
      <c r="AI22" s="368">
        <f t="shared" si="34"/>
        <v>238730</v>
      </c>
      <c r="AJ22" s="419">
        <f aca="true" t="shared" si="35" ref="AJ22:BH22">AJ12+AJ21</f>
        <v>1067</v>
      </c>
      <c r="AK22" s="349">
        <f t="shared" si="35"/>
        <v>196117</v>
      </c>
      <c r="AL22" s="349">
        <f t="shared" si="35"/>
        <v>293802</v>
      </c>
      <c r="AM22" s="442">
        <f t="shared" si="35"/>
        <v>790</v>
      </c>
      <c r="AN22" s="349">
        <f t="shared" si="35"/>
        <v>197270.37</v>
      </c>
      <c r="AO22" s="349">
        <f>AO12+AO21</f>
        <v>309491</v>
      </c>
      <c r="AP22" s="419">
        <f>AP12+AP21</f>
        <v>1755.369999999999</v>
      </c>
      <c r="AQ22" s="368">
        <f t="shared" si="35"/>
        <v>842023</v>
      </c>
      <c r="AR22" s="349">
        <f>AR12+AR21</f>
        <v>164072.55555555556</v>
      </c>
      <c r="AS22" s="151">
        <f>AS12+AS21</f>
        <v>4342.37</v>
      </c>
      <c r="AT22" s="368">
        <f t="shared" si="35"/>
        <v>297199.99999999994</v>
      </c>
      <c r="AU22" s="383">
        <f t="shared" si="35"/>
        <v>197043</v>
      </c>
      <c r="AV22" s="368">
        <f t="shared" si="35"/>
        <v>45022</v>
      </c>
      <c r="AW22" s="368">
        <f t="shared" si="35"/>
        <v>239782.47</v>
      </c>
      <c r="AX22" s="368">
        <f t="shared" si="35"/>
        <v>244124.84</v>
      </c>
      <c r="AY22" s="383">
        <f t="shared" si="35"/>
        <v>97382.41502272003</v>
      </c>
      <c r="AZ22" s="475">
        <f t="shared" si="35"/>
        <v>122355</v>
      </c>
      <c r="BA22" s="368">
        <f t="shared" si="35"/>
        <v>219737.41502272003</v>
      </c>
      <c r="BB22" s="383">
        <f t="shared" si="35"/>
        <v>8314.58453192003</v>
      </c>
      <c r="BC22" s="475">
        <f t="shared" si="35"/>
        <v>129823.00000000001</v>
      </c>
      <c r="BD22" s="368">
        <f t="shared" si="35"/>
        <v>138137.58453192003</v>
      </c>
      <c r="BE22" s="368">
        <f t="shared" si="35"/>
        <v>601999.8395546401</v>
      </c>
      <c r="BF22" s="49">
        <f t="shared" si="35"/>
        <v>3100372.8395546405</v>
      </c>
      <c r="BG22" s="143">
        <f t="shared" si="35"/>
        <v>2498373</v>
      </c>
      <c r="BH22" s="49">
        <f t="shared" si="35"/>
        <v>0</v>
      </c>
    </row>
    <row r="23" spans="1:108" s="76" customFormat="1" ht="34.5" customHeight="1" thickBot="1">
      <c r="A23" s="16"/>
      <c r="B23" s="17"/>
      <c r="C23" s="179" t="s">
        <v>39</v>
      </c>
      <c r="D23" s="178"/>
      <c r="E23" s="197">
        <f>-(F6+F7+F11)</f>
        <v>62539.54</v>
      </c>
      <c r="F23" s="135"/>
      <c r="G23" s="131" t="s">
        <v>34</v>
      </c>
      <c r="H23" s="136">
        <f>F22*100/G22</f>
        <v>3.0627525813016345</v>
      </c>
      <c r="I23" s="22"/>
      <c r="J23" s="273" t="s">
        <v>73</v>
      </c>
      <c r="K23" s="274">
        <f>-(L6+L7+L11)</f>
        <v>45786.02486364989</v>
      </c>
      <c r="L23" s="131" t="s">
        <v>34</v>
      </c>
      <c r="M23" s="297">
        <f>L22*100/M22</f>
        <v>1.8194801883191603</v>
      </c>
      <c r="N23" s="257"/>
      <c r="O23" s="257"/>
      <c r="P23" s="257"/>
      <c r="Q23" s="258"/>
      <c r="R23" s="259">
        <f>16871.57+152600+205.12</f>
        <v>169676.69</v>
      </c>
      <c r="S23" s="324" t="s">
        <v>90</v>
      </c>
      <c r="T23" s="323">
        <f>R22</f>
        <v>984.321827562543</v>
      </c>
      <c r="U23" s="273" t="s">
        <v>73</v>
      </c>
      <c r="V23" s="351">
        <f>-(V7)</f>
        <v>6600</v>
      </c>
      <c r="W23" s="356"/>
      <c r="X23" s="356"/>
      <c r="Y23" s="323"/>
      <c r="Z23" s="144"/>
      <c r="AA23" s="273" t="s">
        <v>73</v>
      </c>
      <c r="AB23" s="245">
        <f>-(AC6+AC7+AC11)</f>
        <v>84509.57895299152</v>
      </c>
      <c r="AC23" s="144"/>
      <c r="AD23" s="273" t="s">
        <v>73</v>
      </c>
      <c r="AE23" s="245">
        <f>-(AF6+AF7+AF11)</f>
        <v>89423</v>
      </c>
      <c r="AF23" s="144"/>
      <c r="AG23" s="144"/>
      <c r="AH23" s="144"/>
      <c r="AI23" s="273" t="s">
        <v>73</v>
      </c>
      <c r="AJ23" s="245">
        <f>-(AJ6+AJ7+AJ11)</f>
        <v>55577</v>
      </c>
      <c r="AK23" s="144"/>
      <c r="AL23" s="273" t="s">
        <v>73</v>
      </c>
      <c r="AM23" s="245">
        <f>-(AM6+AM7+AM11)</f>
        <v>98475</v>
      </c>
      <c r="AN23" s="144"/>
      <c r="AO23" s="273" t="s">
        <v>73</v>
      </c>
      <c r="AP23" s="491">
        <f>-(AP6+AP7+AP11)</f>
        <v>113976</v>
      </c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</row>
    <row r="24" spans="2:59" s="112" customFormat="1" ht="36" customHeight="1" hidden="1" thickBot="1">
      <c r="B24" s="113"/>
      <c r="C24" s="114"/>
      <c r="D24" s="80"/>
      <c r="E24" s="116"/>
      <c r="F24" s="80"/>
      <c r="G24" s="80"/>
      <c r="H24" s="115"/>
      <c r="I24" s="115"/>
      <c r="J24" s="114"/>
      <c r="K24" s="115"/>
      <c r="L24" s="576" t="s">
        <v>47</v>
      </c>
      <c r="M24" s="577"/>
      <c r="N24" s="578"/>
      <c r="O24" s="266"/>
      <c r="P24" s="266"/>
      <c r="Q24" s="253">
        <f>N23+R22</f>
        <v>984.321827562543</v>
      </c>
      <c r="R24" s="192" t="s">
        <v>34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229" t="e">
        <f>#REF!+#REF!+#REF!</f>
        <v>#REF!</v>
      </c>
      <c r="BG24" s="80"/>
    </row>
    <row r="25" spans="2:59" s="100" customFormat="1" ht="33" customHeight="1" thickBot="1">
      <c r="B25" s="117"/>
      <c r="C25" s="94"/>
      <c r="D25" s="36"/>
      <c r="E25" s="88"/>
      <c r="F25" s="36"/>
      <c r="G25" s="36"/>
      <c r="H25" s="94"/>
      <c r="I25" s="94"/>
      <c r="J25" s="41"/>
      <c r="K25" s="579"/>
      <c r="L25" s="580"/>
      <c r="M25" s="296"/>
      <c r="N25" s="94"/>
      <c r="O25" s="94"/>
      <c r="P25" s="94"/>
      <c r="Q25" s="94"/>
      <c r="R25" s="94"/>
      <c r="S25" s="89"/>
      <c r="T25" s="581" t="s">
        <v>107</v>
      </c>
      <c r="U25" s="582"/>
      <c r="V25" s="190">
        <f>R22+V22</f>
        <v>16524.921827562546</v>
      </c>
      <c r="W25" s="374" t="s">
        <v>124</v>
      </c>
      <c r="X25" s="387">
        <f>V25*100/W22</f>
        <v>13.813907872763105</v>
      </c>
      <c r="Y25" s="89"/>
      <c r="Z25" s="89"/>
      <c r="AA25" s="89"/>
      <c r="AB25" s="89"/>
      <c r="AC25" s="404"/>
      <c r="AD25" s="190">
        <f>AC22+AF22</f>
        <v>730</v>
      </c>
      <c r="AE25" s="412" t="s">
        <v>134</v>
      </c>
      <c r="AF25" s="413">
        <f>-AF10</f>
        <v>210.00000000000182</v>
      </c>
      <c r="AG25" s="89"/>
      <c r="AH25" s="89"/>
      <c r="AI25" s="89"/>
      <c r="AJ25" s="89"/>
      <c r="AK25" s="89"/>
      <c r="AL25" s="89"/>
      <c r="AM25" s="89"/>
      <c r="AN25" s="89"/>
      <c r="AO25" s="404" t="s">
        <v>171</v>
      </c>
      <c r="AP25" s="498">
        <f>341+389+1067+790+1755.37</f>
        <v>4342.37</v>
      </c>
      <c r="AQ25" s="496" t="s">
        <v>172</v>
      </c>
      <c r="AR25" s="497">
        <f>AP25*100/AR22</f>
        <v>2.6466156910255827</v>
      </c>
      <c r="AS25" s="89"/>
      <c r="AT25" s="89"/>
      <c r="AU25" s="89"/>
      <c r="AV25" s="89"/>
      <c r="AW25" s="88"/>
      <c r="AX25" s="89"/>
      <c r="AY25" s="89"/>
      <c r="AZ25" s="89"/>
      <c r="BA25" s="89"/>
      <c r="BB25" s="89"/>
      <c r="BC25" s="89"/>
      <c r="BD25" s="89"/>
      <c r="BE25" s="89"/>
      <c r="BF25" s="189" t="s">
        <v>41</v>
      </c>
      <c r="BG25" s="448">
        <f>AM22+AJ22+AF22+AC22+AP22</f>
        <v>4342.369999999999</v>
      </c>
    </row>
    <row r="26" spans="2:59" s="100" customFormat="1" ht="12.75">
      <c r="B26" s="118"/>
      <c r="C26" s="119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8"/>
      <c r="BG26" s="36"/>
    </row>
    <row r="27" spans="2:59" s="100" customFormat="1" ht="12.75">
      <c r="B27" s="89"/>
      <c r="C27" s="41"/>
      <c r="D27" s="36"/>
      <c r="E27" s="88"/>
      <c r="F27" s="36"/>
      <c r="G27" s="36"/>
      <c r="H27" s="94"/>
      <c r="I27" s="94"/>
      <c r="J27" s="41"/>
      <c r="K27" s="94"/>
      <c r="L27" s="94"/>
      <c r="M27" s="94"/>
      <c r="N27" s="94"/>
      <c r="O27" s="94"/>
      <c r="P27" s="94"/>
      <c r="Q27" s="94"/>
      <c r="R27" s="94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16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8"/>
      <c r="BG27" s="36"/>
    </row>
    <row r="28" spans="2:59" s="100" customFormat="1" ht="12.75">
      <c r="B28" s="93"/>
      <c r="C28" s="92"/>
      <c r="D28" s="108"/>
      <c r="E28" s="103"/>
      <c r="F28" s="92"/>
      <c r="G28" s="92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20"/>
      <c r="BG28" s="121"/>
    </row>
    <row r="29" spans="2:59" s="100" customFormat="1" ht="15.75" customHeight="1">
      <c r="B29" s="93"/>
      <c r="C29" s="92"/>
      <c r="D29" s="108"/>
      <c r="E29" s="252"/>
      <c r="F29" s="108"/>
      <c r="G29" s="108"/>
      <c r="H29" s="109"/>
      <c r="I29" s="109"/>
      <c r="J29" s="92"/>
      <c r="K29" s="109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8"/>
    </row>
    <row r="30" spans="2:59" s="100" customFormat="1" ht="15" customHeight="1">
      <c r="B30" s="110"/>
      <c r="C30" s="92"/>
      <c r="D30" s="108"/>
      <c r="E30" s="103"/>
      <c r="F30" s="108"/>
      <c r="G30" s="108"/>
      <c r="H30" s="109"/>
      <c r="I30" s="109"/>
      <c r="J30" s="92"/>
      <c r="K30" s="108"/>
      <c r="L30" s="109"/>
      <c r="M30" s="109"/>
      <c r="N30" s="109"/>
      <c r="O30" s="109"/>
      <c r="P30" s="109"/>
      <c r="Q30" s="109"/>
      <c r="R30" s="109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53"/>
      <c r="BG30" s="108"/>
    </row>
    <row r="31" spans="2:59" s="100" customFormat="1" ht="17.25" customHeight="1">
      <c r="B31" s="111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03"/>
      <c r="BG31" s="108"/>
    </row>
    <row r="32" spans="2:59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8"/>
      <c r="BG32" s="36"/>
    </row>
    <row r="33" spans="2:59" s="100" customFormat="1" ht="25.5" customHeight="1" hidden="1" thickBot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8"/>
      <c r="BG33" s="36"/>
    </row>
    <row r="34" spans="2:59" s="100" customFormat="1" ht="25.5" customHeight="1" hidden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8"/>
      <c r="BG34" s="36"/>
    </row>
    <row r="35" spans="2:59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8"/>
      <c r="BG35" s="36"/>
    </row>
    <row r="36" spans="2:59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8"/>
      <c r="BG36" s="36"/>
    </row>
    <row r="37" spans="2:59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8"/>
      <c r="BG37" s="36"/>
    </row>
    <row r="38" spans="2:59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8"/>
      <c r="BG38" s="36"/>
    </row>
    <row r="39" spans="2:59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8"/>
      <c r="BG39" s="36"/>
    </row>
    <row r="40" spans="2:59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8"/>
      <c r="BG40" s="36"/>
    </row>
    <row r="41" spans="2:59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8"/>
      <c r="BG41" s="36"/>
    </row>
    <row r="42" spans="2:59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8"/>
      <c r="BG42" s="36"/>
    </row>
    <row r="43" spans="2:59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8"/>
      <c r="BG43" s="36"/>
    </row>
    <row r="44" spans="2:59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8"/>
      <c r="BG44" s="36"/>
    </row>
    <row r="45" spans="2:59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8"/>
      <c r="BG45" s="36"/>
    </row>
    <row r="46" spans="2:59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8"/>
      <c r="BG46" s="36"/>
    </row>
    <row r="47" spans="2:59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8"/>
      <c r="BG47" s="36"/>
    </row>
    <row r="48" spans="2:59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8"/>
      <c r="BG48" s="36"/>
    </row>
    <row r="49" spans="2:59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8"/>
      <c r="BG49" s="36"/>
    </row>
    <row r="50" spans="2:59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8"/>
      <c r="BG50" s="36"/>
    </row>
    <row r="51" spans="2:59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8"/>
      <c r="BG51" s="36"/>
    </row>
    <row r="52" spans="2:59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8"/>
      <c r="BG52" s="36"/>
    </row>
    <row r="53" spans="2:59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8"/>
      <c r="BG53" s="36"/>
    </row>
    <row r="54" spans="2:59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8"/>
      <c r="BG54" s="36"/>
    </row>
    <row r="55" spans="2:59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8"/>
      <c r="BG55" s="36"/>
    </row>
    <row r="56" spans="2:59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8"/>
      <c r="BG56" s="36"/>
    </row>
    <row r="57" spans="2:59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8"/>
      <c r="BG57" s="36"/>
    </row>
    <row r="58" spans="2:59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8"/>
      <c r="BG58" s="36"/>
    </row>
    <row r="59" spans="2:59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8"/>
      <c r="BG59" s="36"/>
    </row>
    <row r="60" spans="2:59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8"/>
      <c r="BG60" s="36"/>
    </row>
    <row r="61" spans="2:59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8"/>
      <c r="BG61" s="36"/>
    </row>
    <row r="62" spans="2:59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8"/>
      <c r="BG62" s="36"/>
    </row>
    <row r="63" spans="2:59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8"/>
      <c r="BG63" s="36"/>
    </row>
    <row r="64" spans="2:59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8"/>
      <c r="BG64" s="36"/>
    </row>
    <row r="65" spans="2:59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8"/>
      <c r="BG65" s="36"/>
    </row>
    <row r="66" spans="2:59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8"/>
      <c r="BG66" s="36"/>
    </row>
    <row r="67" spans="2:59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8"/>
      <c r="BG67" s="36"/>
    </row>
    <row r="68" spans="2:59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8"/>
      <c r="BG68" s="36"/>
    </row>
    <row r="69" spans="2:59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8"/>
      <c r="BG69" s="36"/>
    </row>
    <row r="70" spans="2:59" s="100" customFormat="1" ht="25.5" customHeight="1">
      <c r="B70" s="89"/>
      <c r="C70" s="41"/>
      <c r="D70" s="36"/>
      <c r="E70" s="88"/>
      <c r="F70" s="36"/>
      <c r="G70" s="36"/>
      <c r="H70" s="94"/>
      <c r="I70" s="94"/>
      <c r="J70" s="41"/>
      <c r="K70" s="94"/>
      <c r="L70" s="94"/>
      <c r="M70" s="94"/>
      <c r="N70" s="94"/>
      <c r="O70" s="94"/>
      <c r="P70" s="94"/>
      <c r="Q70" s="94"/>
      <c r="R70" s="94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8"/>
      <c r="BG70" s="36"/>
    </row>
  </sheetData>
  <sheetProtection/>
  <mergeCells count="3">
    <mergeCell ref="L24:N24"/>
    <mergeCell ref="K25:L25"/>
    <mergeCell ref="T25:U25"/>
  </mergeCells>
  <printOptions/>
  <pageMargins left="0.16" right="0.16" top="0.27" bottom="0.21" header="0.17" footer="0.17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32"/>
  <sheetViews>
    <sheetView workbookViewId="0" topLeftCell="A1">
      <pane xSplit="5715" topLeftCell="AL1" activePane="topRight" state="split"/>
      <selection pane="topLeft" activeCell="A18" sqref="A18:IV18"/>
      <selection pane="topRight" activeCell="AY17" sqref="AY17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hidden="1" customWidth="1"/>
    <col min="20" max="20" width="8.125" style="28" hidden="1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0.00390625" style="28" hidden="1" customWidth="1"/>
    <col min="26" max="30" width="9.125" style="28" hidden="1" customWidth="1"/>
    <col min="31" max="31" width="9.625" style="28" customWidth="1"/>
    <col min="32" max="32" width="9.125" style="28" hidden="1" customWidth="1"/>
    <col min="33" max="33" width="9.125" style="28" customWidth="1"/>
    <col min="34" max="34" width="8.25390625" style="28" hidden="1" customWidth="1"/>
    <col min="35" max="35" width="8.875" style="28" hidden="1" customWidth="1"/>
    <col min="36" max="36" width="9.25390625" style="28" customWidth="1"/>
    <col min="37" max="38" width="9.125" style="28" bestFit="1" customWidth="1"/>
    <col min="39" max="40" width="9.125" style="28" customWidth="1"/>
    <col min="41" max="41" width="10.00390625" style="28" customWidth="1"/>
    <col min="42" max="42" width="9.25390625" style="28" customWidth="1"/>
    <col min="43" max="43" width="7.875" style="28" customWidth="1"/>
    <col min="44" max="44" width="9.125" style="28" customWidth="1"/>
    <col min="45" max="45" width="8.625" style="28" hidden="1" customWidth="1"/>
    <col min="46" max="46" width="8.50390625" style="28" hidden="1" customWidth="1"/>
    <col min="47" max="48" width="9.125" style="28" customWidth="1"/>
    <col min="49" max="49" width="17.25390625" style="28" hidden="1" customWidth="1"/>
    <col min="50" max="50" width="9.125" style="28" hidden="1" customWidth="1"/>
    <col min="51" max="51" width="9.125" style="28" customWidth="1"/>
    <col min="52" max="52" width="7.75390625" style="28" hidden="1" customWidth="1"/>
    <col min="53" max="53" width="8.875" style="28" hidden="1" customWidth="1"/>
    <col min="54" max="54" width="8.75390625" style="28" customWidth="1"/>
    <col min="55" max="55" width="9.875" style="28" bestFit="1" customWidth="1"/>
    <col min="56" max="56" width="10.875" style="105" bestFit="1" customWidth="1"/>
    <col min="57" max="57" width="11.50390625" style="1" customWidth="1"/>
    <col min="58" max="58" width="9.25390625" style="1" hidden="1" customWidth="1"/>
    <col min="59" max="16384" width="9.00390625" style="1" customWidth="1"/>
  </cols>
  <sheetData>
    <row r="1" spans="1:57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105"/>
      <c r="BE1" s="139" t="s">
        <v>35</v>
      </c>
    </row>
    <row r="2" ht="10.5" customHeight="1">
      <c r="A2" s="8"/>
    </row>
    <row r="3" spans="1:56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156"/>
    </row>
    <row r="4" spans="1:58" s="9" customFormat="1" ht="57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7" t="s">
        <v>132</v>
      </c>
      <c r="AD4" s="72" t="s">
        <v>133</v>
      </c>
      <c r="AE4" s="357" t="s">
        <v>141</v>
      </c>
      <c r="AF4" s="358" t="s">
        <v>99</v>
      </c>
      <c r="AG4" s="37" t="s">
        <v>136</v>
      </c>
      <c r="AH4" s="72" t="s">
        <v>137</v>
      </c>
      <c r="AI4" s="358" t="s">
        <v>98</v>
      </c>
      <c r="AJ4" s="37" t="s">
        <v>144</v>
      </c>
      <c r="AK4" s="72" t="s">
        <v>145</v>
      </c>
      <c r="AL4" s="358" t="s">
        <v>100</v>
      </c>
      <c r="AM4" s="37" t="s">
        <v>163</v>
      </c>
      <c r="AN4" s="72" t="s">
        <v>164</v>
      </c>
      <c r="AO4" s="357" t="s">
        <v>166</v>
      </c>
      <c r="AP4" s="499" t="s">
        <v>173</v>
      </c>
      <c r="AQ4" s="501" t="s">
        <v>170</v>
      </c>
      <c r="AR4" s="300" t="s">
        <v>153</v>
      </c>
      <c r="AS4" s="358" t="s">
        <v>102</v>
      </c>
      <c r="AT4" s="453" t="s">
        <v>154</v>
      </c>
      <c r="AU4" s="457" t="s">
        <v>155</v>
      </c>
      <c r="AV4" s="503" t="s">
        <v>174</v>
      </c>
      <c r="AW4" s="358" t="s">
        <v>103</v>
      </c>
      <c r="AX4" s="453" t="s">
        <v>154</v>
      </c>
      <c r="AY4" s="457" t="s">
        <v>156</v>
      </c>
      <c r="AZ4" s="358" t="s">
        <v>104</v>
      </c>
      <c r="BA4" s="453" t="s">
        <v>154</v>
      </c>
      <c r="BB4" s="457" t="s">
        <v>157</v>
      </c>
      <c r="BC4" s="357" t="s">
        <v>158</v>
      </c>
      <c r="BD4" s="225" t="s">
        <v>159</v>
      </c>
      <c r="BE4" s="219" t="s">
        <v>55</v>
      </c>
      <c r="BF4" s="96" t="s">
        <v>130</v>
      </c>
    </row>
    <row r="5" spans="1:58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 aca="true" t="shared" si="5" ref="AA5:AA11">Y5-Z5</f>
        <v>-433.5425341379887</v>
      </c>
      <c r="AB5" s="345">
        <f>48000-4909.13</f>
        <v>43090.87</v>
      </c>
      <c r="AC5" s="391">
        <v>43459.56</v>
      </c>
      <c r="AD5" s="354">
        <f aca="true" t="shared" si="6" ref="AD5:AD11">AB5-AC5</f>
        <v>-368.68999999999505</v>
      </c>
      <c r="AE5" s="359">
        <f aca="true" t="shared" si="7" ref="AE5:AE11">S5+Z5+AC5</f>
        <v>146013.65</v>
      </c>
      <c r="AF5" s="345">
        <f>48000+4573.76</f>
        <v>52573.76</v>
      </c>
      <c r="AG5" s="391">
        <v>52761</v>
      </c>
      <c r="AH5" s="354">
        <f aca="true" t="shared" si="8" ref="AH5:AH11">AF5-AG5</f>
        <v>-187.23999999999796</v>
      </c>
      <c r="AI5" s="345">
        <f>48000-4573.76+4099.73</f>
        <v>47525.97</v>
      </c>
      <c r="AJ5" s="391">
        <v>47804.35</v>
      </c>
      <c r="AK5" s="354">
        <f aca="true" t="shared" si="9" ref="AK5:AK11">AI5-AJ5</f>
        <v>-278.3799999999974</v>
      </c>
      <c r="AL5" s="345">
        <f>48000-4099.73</f>
        <v>43900.270000000004</v>
      </c>
      <c r="AM5" s="391">
        <v>42159.27</v>
      </c>
      <c r="AN5" s="345">
        <f>AL5-AM5</f>
        <v>1741.0000000000073</v>
      </c>
      <c r="AO5" s="359">
        <f aca="true" t="shared" si="10" ref="AO5:AO11">AG5+AJ5+AM5</f>
        <v>142724.62</v>
      </c>
      <c r="AP5" s="264"/>
      <c r="AQ5" s="264"/>
      <c r="AR5" s="344">
        <v>76617.43</v>
      </c>
      <c r="AS5" s="345">
        <v>48000</v>
      </c>
      <c r="AT5" s="454">
        <v>12000</v>
      </c>
      <c r="AU5" s="458">
        <f>AS5+AT5</f>
        <v>60000</v>
      </c>
      <c r="AV5" s="345">
        <f>AQ5+AU5</f>
        <v>60000</v>
      </c>
      <c r="AW5" s="345">
        <v>31516.14</v>
      </c>
      <c r="AX5" s="454">
        <v>28484</v>
      </c>
      <c r="AY5" s="458">
        <f aca="true" t="shared" si="11" ref="AY5:AY11">AW5+AX5</f>
        <v>60000.14</v>
      </c>
      <c r="AZ5" s="345">
        <v>0</v>
      </c>
      <c r="BA5" s="454">
        <f aca="true" t="shared" si="12" ref="BA5:BA11">AR5-AT5-AX5</f>
        <v>36133.42999999999</v>
      </c>
      <c r="BB5" s="458">
        <f aca="true" t="shared" si="13" ref="BB5:BB11">AZ5+BA5</f>
        <v>36133.42999999999</v>
      </c>
      <c r="BC5" s="359">
        <f aca="true" t="shared" si="14" ref="BC5:BC11">AV5+AY5+BB5</f>
        <v>156133.57</v>
      </c>
      <c r="BD5" s="133">
        <f aca="true" t="shared" si="15" ref="BD5:BD11">Q5+AE5+AO5+BC5</f>
        <v>592281.46</v>
      </c>
      <c r="BE5" s="90">
        <f>Q5+AE5+AO5</f>
        <v>436147.89</v>
      </c>
      <c r="BF5" s="264"/>
    </row>
    <row r="6" spans="1:58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 t="shared" si="5"/>
        <v>-217.5500000000029</v>
      </c>
      <c r="AB6" s="345">
        <f>35000-227.67</f>
        <v>34772.33</v>
      </c>
      <c r="AC6" s="391">
        <v>34771.13</v>
      </c>
      <c r="AD6" s="345">
        <f t="shared" si="6"/>
        <v>1.2000000000043656</v>
      </c>
      <c r="AE6" s="359">
        <f t="shared" si="7"/>
        <v>105970.06</v>
      </c>
      <c r="AF6" s="345">
        <f>35000+149.84</f>
        <v>35149.84</v>
      </c>
      <c r="AG6" s="391">
        <v>35211.19</v>
      </c>
      <c r="AH6" s="354">
        <f t="shared" si="8"/>
        <v>-61.35000000000582</v>
      </c>
      <c r="AI6" s="345">
        <f>35000-149.84</f>
        <v>34850.16</v>
      </c>
      <c r="AJ6" s="391">
        <v>34744.57</v>
      </c>
      <c r="AK6" s="345">
        <f t="shared" si="9"/>
        <v>105.59000000000378</v>
      </c>
      <c r="AL6" s="345">
        <v>35000</v>
      </c>
      <c r="AM6" s="391">
        <v>34912.91</v>
      </c>
      <c r="AN6" s="345">
        <f>AL6-AM6</f>
        <v>87.08999999999651</v>
      </c>
      <c r="AO6" s="359">
        <f t="shared" si="10"/>
        <v>104868.67000000001</v>
      </c>
      <c r="AP6" s="264"/>
      <c r="AQ6" s="264"/>
      <c r="AR6" s="344">
        <v>55258.73</v>
      </c>
      <c r="AS6" s="345">
        <v>35000</v>
      </c>
      <c r="AT6" s="454">
        <v>5000</v>
      </c>
      <c r="AU6" s="458">
        <f>AS6+AT6</f>
        <v>40000</v>
      </c>
      <c r="AV6" s="345">
        <f>AQ6+AU6</f>
        <v>40000</v>
      </c>
      <c r="AW6" s="345">
        <v>23683.13</v>
      </c>
      <c r="AX6" s="454">
        <v>16317</v>
      </c>
      <c r="AY6" s="458">
        <f t="shared" si="11"/>
        <v>40000.130000000005</v>
      </c>
      <c r="AZ6" s="345">
        <v>0</v>
      </c>
      <c r="BA6" s="454">
        <f t="shared" si="12"/>
        <v>33941.73</v>
      </c>
      <c r="BB6" s="458">
        <f t="shared" si="13"/>
        <v>33941.73</v>
      </c>
      <c r="BC6" s="359">
        <f t="shared" si="14"/>
        <v>113941.86000000002</v>
      </c>
      <c r="BD6" s="133">
        <f t="shared" si="15"/>
        <v>431566.91000000003</v>
      </c>
      <c r="BE6" s="90">
        <f>Q6+AE6+AO6</f>
        <v>317625.05000000005</v>
      </c>
      <c r="BF6" s="265"/>
    </row>
    <row r="7" spans="1:58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t="shared" si="5"/>
        <v>-2804.44464150352</v>
      </c>
      <c r="AB7" s="345">
        <f>26000-2305.07</f>
        <v>23694.93</v>
      </c>
      <c r="AC7" s="391">
        <v>24619.66</v>
      </c>
      <c r="AD7" s="354">
        <f t="shared" si="6"/>
        <v>-924.7299999999996</v>
      </c>
      <c r="AE7" s="359">
        <f t="shared" si="7"/>
        <v>82420.51000000001</v>
      </c>
      <c r="AF7" s="345">
        <f>26000+2271.65</f>
        <v>28271.65</v>
      </c>
      <c r="AG7" s="391">
        <v>29076.51</v>
      </c>
      <c r="AH7" s="354">
        <f t="shared" si="8"/>
        <v>-804.859999999997</v>
      </c>
      <c r="AI7" s="345">
        <f>26000-2271.65+2297.33</f>
        <v>26025.68</v>
      </c>
      <c r="AJ7" s="391">
        <v>27912.67</v>
      </c>
      <c r="AK7" s="354">
        <f t="shared" si="9"/>
        <v>-1886.989999999998</v>
      </c>
      <c r="AL7" s="345">
        <f>26000-2297.33</f>
        <v>23702.67</v>
      </c>
      <c r="AM7" s="391">
        <v>26070.96</v>
      </c>
      <c r="AN7" s="354">
        <f aca="true" t="shared" si="16" ref="AN7:AN13">AL7-AM7</f>
        <v>-2368.290000000001</v>
      </c>
      <c r="AO7" s="359">
        <f t="shared" si="10"/>
        <v>83060.13999999998</v>
      </c>
      <c r="AP7" s="345">
        <f>(Q7+AE7+AO7)/9</f>
        <v>28270.022222222222</v>
      </c>
      <c r="AQ7" s="264">
        <f>AP7*AP17/100</f>
        <v>202.75250978250608</v>
      </c>
      <c r="AR7" s="344">
        <v>40870.39</v>
      </c>
      <c r="AS7" s="345">
        <v>26000</v>
      </c>
      <c r="AT7" s="454">
        <v>5000</v>
      </c>
      <c r="AU7" s="458">
        <f>AS7+AT7</f>
        <v>31000</v>
      </c>
      <c r="AV7" s="264">
        <f aca="true" t="shared" si="17" ref="AV7:AV13">AQ7+AU7</f>
        <v>31202.752509782506</v>
      </c>
      <c r="AW7" s="345">
        <v>18759.34</v>
      </c>
      <c r="AX7" s="454">
        <v>15000</v>
      </c>
      <c r="AY7" s="458">
        <f t="shared" si="11"/>
        <v>33759.34</v>
      </c>
      <c r="AZ7" s="345">
        <v>0</v>
      </c>
      <c r="BA7" s="454">
        <f t="shared" si="12"/>
        <v>20870.39</v>
      </c>
      <c r="BB7" s="458">
        <f t="shared" si="13"/>
        <v>20870.39</v>
      </c>
      <c r="BC7" s="359">
        <f t="shared" si="14"/>
        <v>85832.48250978251</v>
      </c>
      <c r="BD7" s="133">
        <f t="shared" si="15"/>
        <v>340262.6825097825</v>
      </c>
      <c r="BE7" s="90">
        <f aca="true" t="shared" si="18" ref="BE7:BE13">Q7+AE7+AO7</f>
        <v>254430.19999999998</v>
      </c>
      <c r="BF7" s="265"/>
    </row>
    <row r="8" spans="1:58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5"/>
        <v>-49752.77045819879</v>
      </c>
      <c r="AB8" s="345">
        <v>28000</v>
      </c>
      <c r="AC8" s="391">
        <v>65373.36</v>
      </c>
      <c r="AD8" s="354">
        <f t="shared" si="6"/>
        <v>-37373.36</v>
      </c>
      <c r="AE8" s="359">
        <f t="shared" si="7"/>
        <v>182625.57</v>
      </c>
      <c r="AF8" s="345">
        <f>28000+360.52</f>
        <v>28360.52</v>
      </c>
      <c r="AG8" s="391">
        <v>66645.11</v>
      </c>
      <c r="AH8" s="354">
        <f t="shared" si="8"/>
        <v>-38284.59</v>
      </c>
      <c r="AI8" s="345">
        <f>28000-360.52+1.17</f>
        <v>27640.649999999998</v>
      </c>
      <c r="AJ8" s="391">
        <v>66457.85</v>
      </c>
      <c r="AK8" s="354">
        <f t="shared" si="9"/>
        <v>-38817.20000000001</v>
      </c>
      <c r="AL8" s="345">
        <f>28000-1.17</f>
        <v>27998.83</v>
      </c>
      <c r="AM8" s="391">
        <v>68639.59</v>
      </c>
      <c r="AN8" s="354">
        <f t="shared" si="16"/>
        <v>-40640.759999999995</v>
      </c>
      <c r="AO8" s="359">
        <f t="shared" si="10"/>
        <v>201742.55000000002</v>
      </c>
      <c r="AP8" s="345">
        <f>(Q8+AE8+AO8)/9</f>
        <v>65723.8688888889</v>
      </c>
      <c r="AQ8" s="264">
        <f>AP8*AP17/100</f>
        <v>471.3713793745686</v>
      </c>
      <c r="AR8" s="344">
        <v>44367.66</v>
      </c>
      <c r="AS8" s="345">
        <v>28000</v>
      </c>
      <c r="AT8" s="454">
        <v>7000</v>
      </c>
      <c r="AU8" s="458">
        <f>AS8+AT8</f>
        <v>35000</v>
      </c>
      <c r="AV8" s="264">
        <f t="shared" si="17"/>
        <v>35471.37137937457</v>
      </c>
      <c r="AW8" s="345">
        <v>17025.58</v>
      </c>
      <c r="AX8" s="454">
        <v>17975</v>
      </c>
      <c r="AY8" s="458">
        <f t="shared" si="11"/>
        <v>35000.58</v>
      </c>
      <c r="AZ8" s="345">
        <v>0</v>
      </c>
      <c r="BA8" s="454">
        <f t="shared" si="12"/>
        <v>19392.660000000003</v>
      </c>
      <c r="BB8" s="458">
        <f t="shared" si="13"/>
        <v>19392.660000000003</v>
      </c>
      <c r="BC8" s="359">
        <f t="shared" si="14"/>
        <v>89864.61137937458</v>
      </c>
      <c r="BD8" s="133">
        <f t="shared" si="15"/>
        <v>681379.4313793746</v>
      </c>
      <c r="BE8" s="90">
        <f t="shared" si="18"/>
        <v>591514.8200000001</v>
      </c>
      <c r="BF8" s="265"/>
    </row>
    <row r="9" spans="1:58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5"/>
        <v>-26775.90566895158</v>
      </c>
      <c r="AB9" s="345">
        <f>68000-1287.76+5196.34</f>
        <v>71908.58</v>
      </c>
      <c r="AC9" s="391">
        <v>100626.87</v>
      </c>
      <c r="AD9" s="354">
        <f t="shared" si="6"/>
        <v>-28718.289999999994</v>
      </c>
      <c r="AE9" s="359">
        <f t="shared" si="7"/>
        <v>266838.64</v>
      </c>
      <c r="AF9" s="345">
        <f>68000-5196.34+3044.85</f>
        <v>65848.51000000001</v>
      </c>
      <c r="AG9" s="391">
        <v>92177.52</v>
      </c>
      <c r="AH9" s="354">
        <f t="shared" si="8"/>
        <v>-26329.009999999995</v>
      </c>
      <c r="AI9" s="345">
        <f>68000-3044.85+5714.3</f>
        <v>70669.45</v>
      </c>
      <c r="AJ9" s="391">
        <v>93247.64</v>
      </c>
      <c r="AK9" s="354">
        <f t="shared" si="9"/>
        <v>-22578.190000000002</v>
      </c>
      <c r="AL9" s="345">
        <f>68000-5714.3+3157.23</f>
        <v>65442.93</v>
      </c>
      <c r="AM9" s="391">
        <v>97791.14</v>
      </c>
      <c r="AN9" s="354">
        <f t="shared" si="16"/>
        <v>-32348.21</v>
      </c>
      <c r="AO9" s="359">
        <f t="shared" si="10"/>
        <v>283216.3</v>
      </c>
      <c r="AP9" s="345">
        <f>(Q9+AE9+AO9)/9</f>
        <v>89079.65999999999</v>
      </c>
      <c r="AQ9" s="264">
        <f>AP9*AP17/100</f>
        <v>638.8790392027001</v>
      </c>
      <c r="AR9" s="344">
        <v>102684.78</v>
      </c>
      <c r="AS9" s="345">
        <v>68000</v>
      </c>
      <c r="AT9" s="454">
        <v>12000</v>
      </c>
      <c r="AU9" s="458">
        <f>AS9+AT9-3157.23</f>
        <v>76842.77</v>
      </c>
      <c r="AV9" s="264">
        <f t="shared" si="17"/>
        <v>77481.6490392027</v>
      </c>
      <c r="AW9" s="345">
        <v>12667.05</v>
      </c>
      <c r="AX9" s="454">
        <v>50684</v>
      </c>
      <c r="AY9" s="458">
        <f t="shared" si="11"/>
        <v>63351.05</v>
      </c>
      <c r="AZ9" s="345">
        <v>0</v>
      </c>
      <c r="BA9" s="454">
        <f t="shared" si="12"/>
        <v>40000.78</v>
      </c>
      <c r="BB9" s="458">
        <f t="shared" si="13"/>
        <v>40000.78</v>
      </c>
      <c r="BC9" s="359">
        <f t="shared" si="14"/>
        <v>180833.4790392027</v>
      </c>
      <c r="BD9" s="133">
        <f t="shared" si="15"/>
        <v>982550.4190392026</v>
      </c>
      <c r="BE9" s="90">
        <f t="shared" si="18"/>
        <v>801716.94</v>
      </c>
      <c r="BF9" s="265"/>
    </row>
    <row r="10" spans="1:58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5"/>
        <v>-242.84820781231247</v>
      </c>
      <c r="AB10" s="345">
        <f>25000+149.2</f>
        <v>25149.2</v>
      </c>
      <c r="AC10" s="391">
        <v>25326.54</v>
      </c>
      <c r="AD10" s="354">
        <f t="shared" si="6"/>
        <v>-177.34000000000015</v>
      </c>
      <c r="AE10" s="359">
        <f t="shared" si="7"/>
        <v>77273.08</v>
      </c>
      <c r="AF10" s="345">
        <f>25000-149.2+427.78</f>
        <v>25278.579999999998</v>
      </c>
      <c r="AG10" s="391">
        <v>25278.58</v>
      </c>
      <c r="AH10" s="264">
        <f t="shared" si="8"/>
        <v>0</v>
      </c>
      <c r="AI10" s="345">
        <f>25000-427.78+728.4</f>
        <v>25300.620000000003</v>
      </c>
      <c r="AJ10" s="391">
        <v>25300.62</v>
      </c>
      <c r="AK10" s="345">
        <f t="shared" si="9"/>
        <v>0</v>
      </c>
      <c r="AL10" s="345">
        <f>25000-728.4+738.25</f>
        <v>25009.85</v>
      </c>
      <c r="AM10" s="391">
        <v>25143.09</v>
      </c>
      <c r="AN10" s="354">
        <f t="shared" si="16"/>
        <v>-133.2400000000016</v>
      </c>
      <c r="AO10" s="359">
        <f t="shared" si="10"/>
        <v>75722.29</v>
      </c>
      <c r="AP10" s="345">
        <f>(Q10+AE10+AO10)/9</f>
        <v>25972.469999999998</v>
      </c>
      <c r="AQ10" s="264">
        <f>AP10*AP17/100</f>
        <v>186.27447252628662</v>
      </c>
      <c r="AR10" s="344">
        <v>37366.37</v>
      </c>
      <c r="AS10" s="345">
        <v>20000</v>
      </c>
      <c r="AT10" s="454">
        <v>2000</v>
      </c>
      <c r="AU10" s="458">
        <f>AS10+AT10-738.25</f>
        <v>21261.75</v>
      </c>
      <c r="AV10" s="264">
        <f t="shared" si="17"/>
        <v>21448.024472526286</v>
      </c>
      <c r="AW10" s="345">
        <v>10828.19</v>
      </c>
      <c r="AX10" s="454">
        <v>15000</v>
      </c>
      <c r="AY10" s="458">
        <f t="shared" si="11"/>
        <v>25828.190000000002</v>
      </c>
      <c r="AZ10" s="345">
        <v>0</v>
      </c>
      <c r="BA10" s="454">
        <f t="shared" si="12"/>
        <v>20366.370000000003</v>
      </c>
      <c r="BB10" s="458">
        <f t="shared" si="13"/>
        <v>20366.370000000003</v>
      </c>
      <c r="BC10" s="359">
        <f t="shared" si="14"/>
        <v>67642.5844725263</v>
      </c>
      <c r="BD10" s="133">
        <f t="shared" si="15"/>
        <v>301394.8144725263</v>
      </c>
      <c r="BE10" s="90">
        <f t="shared" si="18"/>
        <v>233752.22999999998</v>
      </c>
      <c r="BF10" s="265"/>
    </row>
    <row r="11" spans="1:58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5"/>
        <v>-198.35848939578864</v>
      </c>
      <c r="AB11" s="345">
        <f>57000-12580.53+34124.63</f>
        <v>78544.1</v>
      </c>
      <c r="AC11" s="391">
        <v>79063.45</v>
      </c>
      <c r="AD11" s="354">
        <f t="shared" si="6"/>
        <v>-519.3499999999913</v>
      </c>
      <c r="AE11" s="359">
        <f t="shared" si="7"/>
        <v>206346.18</v>
      </c>
      <c r="AF11" s="345">
        <f>58780-34124.63+44919.57</f>
        <v>69574.94</v>
      </c>
      <c r="AG11" s="391">
        <v>69916.62</v>
      </c>
      <c r="AH11" s="354">
        <f t="shared" si="8"/>
        <v>-341.679999999993</v>
      </c>
      <c r="AI11" s="345">
        <f>58780-44919.57+54548.71</f>
        <v>68409.14</v>
      </c>
      <c r="AJ11" s="391">
        <v>68930.46</v>
      </c>
      <c r="AK11" s="354">
        <f t="shared" si="9"/>
        <v>-521.320000000007</v>
      </c>
      <c r="AL11" s="345">
        <f>58780-54548.71+27856.83</f>
        <v>32088.120000000003</v>
      </c>
      <c r="AM11" s="391">
        <v>32611.1</v>
      </c>
      <c r="AN11" s="354">
        <f t="shared" si="16"/>
        <v>-522.9799999999959</v>
      </c>
      <c r="AO11" s="359">
        <f t="shared" si="10"/>
        <v>171458.18000000002</v>
      </c>
      <c r="AP11" s="345">
        <f>(Q11+AE11+AO11)/9</f>
        <v>60736.58555555556</v>
      </c>
      <c r="AQ11" s="264">
        <f>AP11*AP17/100</f>
        <v>435.6025991139385</v>
      </c>
      <c r="AR11" s="344">
        <v>85634.64</v>
      </c>
      <c r="AS11" s="345">
        <v>55000</v>
      </c>
      <c r="AT11" s="454">
        <v>22000</v>
      </c>
      <c r="AU11" s="458">
        <f>AS11+AT11-27856.83</f>
        <v>49143.17</v>
      </c>
      <c r="AV11" s="264">
        <f t="shared" si="17"/>
        <v>49578.77259911394</v>
      </c>
      <c r="AW11" s="345">
        <v>11780.57</v>
      </c>
      <c r="AX11" s="454">
        <v>43635</v>
      </c>
      <c r="AY11" s="458">
        <f t="shared" si="11"/>
        <v>55415.57</v>
      </c>
      <c r="AZ11" s="345">
        <v>0</v>
      </c>
      <c r="BA11" s="454">
        <f t="shared" si="12"/>
        <v>19999.64</v>
      </c>
      <c r="BB11" s="458">
        <f t="shared" si="13"/>
        <v>19999.64</v>
      </c>
      <c r="BC11" s="359">
        <f t="shared" si="14"/>
        <v>124993.98259911394</v>
      </c>
      <c r="BD11" s="133">
        <f t="shared" si="15"/>
        <v>671623.252599114</v>
      </c>
      <c r="BE11" s="90">
        <f t="shared" si="18"/>
        <v>546629.27</v>
      </c>
      <c r="BF11" s="265"/>
    </row>
    <row r="12" spans="1:58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9" ref="G12:M12">SUM(G5:G11)</f>
        <v>205261.1030769231</v>
      </c>
      <c r="H12" s="44">
        <f t="shared" si="19"/>
        <v>272549.07</v>
      </c>
      <c r="I12" s="44">
        <f t="shared" si="19"/>
        <v>5477.89</v>
      </c>
      <c r="J12" s="44">
        <f t="shared" si="19"/>
        <v>289870.7</v>
      </c>
      <c r="K12" s="44">
        <f t="shared" si="19"/>
        <v>341957.91000000003</v>
      </c>
      <c r="L12" s="44">
        <f t="shared" si="19"/>
        <v>-52087.210000000014</v>
      </c>
      <c r="M12" s="44">
        <f t="shared" si="19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20" ref="U12:Z12">SUM(U5:U11)</f>
        <v>268091.919375</v>
      </c>
      <c r="V12" s="44">
        <f t="shared" si="20"/>
        <v>1063.9400000000023</v>
      </c>
      <c r="W12" s="44">
        <f t="shared" si="20"/>
        <v>1846600</v>
      </c>
      <c r="X12" s="346">
        <f t="shared" si="20"/>
        <v>264743.92</v>
      </c>
      <c r="Y12" s="346">
        <f t="shared" si="20"/>
        <v>287118.02</v>
      </c>
      <c r="Z12" s="346">
        <f t="shared" si="20"/>
        <v>367543.43999999994</v>
      </c>
      <c r="AA12" s="346">
        <v>0</v>
      </c>
      <c r="AB12" s="346">
        <f>SUM(AB5:AB11)</f>
        <v>305160.01</v>
      </c>
      <c r="AC12" s="346">
        <f>SUM(AC5:AC11)</f>
        <v>373240.57</v>
      </c>
      <c r="AD12" s="346">
        <f>AD6</f>
        <v>1.2000000000043656</v>
      </c>
      <c r="AE12" s="423">
        <f>SUM(AE5:AE11)</f>
        <v>1067487.69</v>
      </c>
      <c r="AF12" s="44">
        <f>SUM(AF5:AF11)</f>
        <v>305057.8</v>
      </c>
      <c r="AG12" s="44">
        <f>SUM(AG5:AG11)</f>
        <v>371066.53</v>
      </c>
      <c r="AH12" s="44">
        <v>0</v>
      </c>
      <c r="AI12" s="44">
        <f>SUM(AI5:AI11)</f>
        <v>300421.67</v>
      </c>
      <c r="AJ12" s="44">
        <f>SUM(AJ5:AJ11)</f>
        <v>364398.16000000003</v>
      </c>
      <c r="AK12" s="44">
        <f>AK6</f>
        <v>105.59000000000378</v>
      </c>
      <c r="AL12" s="44">
        <f aca="true" t="shared" si="21" ref="AL12:BF12">SUM(AL5:AL11)</f>
        <v>253142.67</v>
      </c>
      <c r="AM12" s="44">
        <f>SUM(AM5:AM11)</f>
        <v>327328.06</v>
      </c>
      <c r="AN12" s="44">
        <f>AN5+AN6</f>
        <v>1828.0900000000038</v>
      </c>
      <c r="AO12" s="44">
        <f t="shared" si="21"/>
        <v>1062792.75</v>
      </c>
      <c r="AP12" s="44">
        <f>SUM(AP5:AP11)</f>
        <v>269782.6066666667</v>
      </c>
      <c r="AQ12" s="44">
        <f>SUM(AQ5:AQ11)</f>
        <v>1934.88</v>
      </c>
      <c r="AR12" s="44">
        <f t="shared" si="21"/>
        <v>442800</v>
      </c>
      <c r="AS12" s="44">
        <f t="shared" si="21"/>
        <v>280000</v>
      </c>
      <c r="AT12" s="44">
        <f t="shared" si="21"/>
        <v>65000</v>
      </c>
      <c r="AU12" s="44">
        <f t="shared" si="21"/>
        <v>313247.69</v>
      </c>
      <c r="AV12" s="44">
        <f t="shared" si="21"/>
        <v>315182.57</v>
      </c>
      <c r="AW12" s="44">
        <f t="shared" si="21"/>
        <v>126260</v>
      </c>
      <c r="AX12" s="44">
        <f t="shared" si="21"/>
        <v>187095</v>
      </c>
      <c r="AY12" s="44">
        <f t="shared" si="21"/>
        <v>313355</v>
      </c>
      <c r="AZ12" s="44">
        <f t="shared" si="21"/>
        <v>0</v>
      </c>
      <c r="BA12" s="44">
        <f t="shared" si="21"/>
        <v>190705</v>
      </c>
      <c r="BB12" s="44">
        <f t="shared" si="21"/>
        <v>190705</v>
      </c>
      <c r="BC12" s="44">
        <f t="shared" si="21"/>
        <v>819242.5700000002</v>
      </c>
      <c r="BD12" s="44">
        <f t="shared" si="21"/>
        <v>4001058.97</v>
      </c>
      <c r="BE12" s="44">
        <f t="shared" si="21"/>
        <v>3181816.4</v>
      </c>
      <c r="BF12" s="228">
        <f t="shared" si="21"/>
        <v>0</v>
      </c>
    </row>
    <row r="13" spans="1:58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>Y13-Z13</f>
        <v>-9840</v>
      </c>
      <c r="AB13" s="345">
        <v>10000</v>
      </c>
      <c r="AC13" s="391">
        <v>20000</v>
      </c>
      <c r="AD13" s="354">
        <f>AB13-AC13</f>
        <v>-10000</v>
      </c>
      <c r="AE13" s="359">
        <f>S13+Z13+AC13</f>
        <v>49760</v>
      </c>
      <c r="AF13" s="345">
        <v>10000</v>
      </c>
      <c r="AG13" s="391">
        <v>16840</v>
      </c>
      <c r="AH13" s="354">
        <f>AF13-AG13</f>
        <v>-6840</v>
      </c>
      <c r="AI13" s="345">
        <v>10000</v>
      </c>
      <c r="AJ13" s="391">
        <v>14800</v>
      </c>
      <c r="AK13" s="354">
        <f>AI13-AJ13</f>
        <v>-4800</v>
      </c>
      <c r="AL13" s="345">
        <v>10000</v>
      </c>
      <c r="AM13" s="391">
        <v>15760</v>
      </c>
      <c r="AN13" s="354">
        <f t="shared" si="16"/>
        <v>-5760</v>
      </c>
      <c r="AO13" s="359">
        <f>AG13+AJ13+AM13</f>
        <v>47400</v>
      </c>
      <c r="AP13" s="264"/>
      <c r="AQ13" s="264"/>
      <c r="AR13" s="344">
        <v>3000</v>
      </c>
      <c r="AS13" s="345">
        <v>10000</v>
      </c>
      <c r="AT13" s="454">
        <v>1000</v>
      </c>
      <c r="AU13" s="458">
        <f>AS13+AT13</f>
        <v>11000</v>
      </c>
      <c r="AV13" s="264">
        <f t="shared" si="17"/>
        <v>11000</v>
      </c>
      <c r="AW13" s="345">
        <v>10000</v>
      </c>
      <c r="AX13" s="454">
        <v>1000</v>
      </c>
      <c r="AY13" s="458">
        <f>AW13+AX13</f>
        <v>11000</v>
      </c>
      <c r="AZ13" s="345">
        <v>7000</v>
      </c>
      <c r="BA13" s="454">
        <f>AR13-AT13-AX13</f>
        <v>1000</v>
      </c>
      <c r="BB13" s="458">
        <f>AZ13+BA13</f>
        <v>8000</v>
      </c>
      <c r="BC13" s="359">
        <f>AU13+AY13+BB13</f>
        <v>30000</v>
      </c>
      <c r="BD13" s="133">
        <f>Q13+AE13+AO13+BC13</f>
        <v>171090</v>
      </c>
      <c r="BE13" s="90">
        <f t="shared" si="18"/>
        <v>141090</v>
      </c>
      <c r="BF13" s="265"/>
    </row>
    <row r="14" spans="1:58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22" ref="G14:M14">SUM(G13:G13)</f>
        <v>0</v>
      </c>
      <c r="H14" s="50">
        <f t="shared" si="22"/>
        <v>10000</v>
      </c>
      <c r="I14" s="50">
        <f t="shared" si="22"/>
        <v>0</v>
      </c>
      <c r="J14" s="50">
        <f t="shared" si="22"/>
        <v>10000</v>
      </c>
      <c r="K14" s="50">
        <f t="shared" si="22"/>
        <v>15600</v>
      </c>
      <c r="L14" s="50">
        <f t="shared" si="22"/>
        <v>-5600</v>
      </c>
      <c r="M14" s="50">
        <f t="shared" si="22"/>
        <v>10000</v>
      </c>
      <c r="N14" s="50"/>
      <c r="O14" s="50">
        <f>SUM(O13:O13)</f>
        <v>15960</v>
      </c>
      <c r="P14" s="50">
        <v>0</v>
      </c>
      <c r="Q14" s="187">
        <f aca="true" t="shared" si="23" ref="Q14:Z14">SUM(Q13:Q13)</f>
        <v>43930</v>
      </c>
      <c r="R14" s="187">
        <f t="shared" si="23"/>
        <v>10000</v>
      </c>
      <c r="S14" s="187">
        <f t="shared" si="23"/>
        <v>9920</v>
      </c>
      <c r="T14" s="187">
        <f t="shared" si="23"/>
        <v>80</v>
      </c>
      <c r="U14" s="50">
        <f t="shared" si="23"/>
        <v>0</v>
      </c>
      <c r="V14" s="50">
        <f t="shared" si="23"/>
        <v>0</v>
      </c>
      <c r="W14" s="50">
        <f t="shared" si="23"/>
        <v>77000</v>
      </c>
      <c r="X14" s="50">
        <f t="shared" si="23"/>
        <v>10000</v>
      </c>
      <c r="Y14" s="50">
        <f t="shared" si="23"/>
        <v>10000</v>
      </c>
      <c r="Z14" s="50">
        <f t="shared" si="23"/>
        <v>19840</v>
      </c>
      <c r="AA14" s="50">
        <v>0</v>
      </c>
      <c r="AB14" s="50">
        <f>SUM(AB13:AB13)</f>
        <v>10000</v>
      </c>
      <c r="AC14" s="50">
        <f>SUM(AC13:AC13)</f>
        <v>20000</v>
      </c>
      <c r="AD14" s="50"/>
      <c r="AE14" s="50">
        <f>SUM(AE13:AE13)</f>
        <v>49760</v>
      </c>
      <c r="AF14" s="50">
        <f>SUM(AF13:AF13)</f>
        <v>10000</v>
      </c>
      <c r="AG14" s="50">
        <f>SUM(AG13:AG13)</f>
        <v>16840</v>
      </c>
      <c r="AH14" s="50">
        <v>0</v>
      </c>
      <c r="AI14" s="50">
        <f>SUM(AI13:AI13)</f>
        <v>10000</v>
      </c>
      <c r="AJ14" s="50">
        <f>SUM(AJ13:AJ13)</f>
        <v>14800</v>
      </c>
      <c r="AK14" s="50">
        <v>0</v>
      </c>
      <c r="AL14" s="50">
        <f aca="true" t="shared" si="24" ref="AL14:BF14">SUM(AL13:AL13)</f>
        <v>10000</v>
      </c>
      <c r="AM14" s="50">
        <f>SUM(AM13:AM13)</f>
        <v>15760</v>
      </c>
      <c r="AN14" s="50">
        <v>0</v>
      </c>
      <c r="AO14" s="50">
        <f t="shared" si="24"/>
        <v>47400</v>
      </c>
      <c r="AP14" s="50">
        <f>SUM(AP13:AP13)</f>
        <v>0</v>
      </c>
      <c r="AQ14" s="50">
        <f>SUM(AQ13:AQ13)</f>
        <v>0</v>
      </c>
      <c r="AR14" s="50">
        <f t="shared" si="24"/>
        <v>3000</v>
      </c>
      <c r="AS14" s="50">
        <f t="shared" si="24"/>
        <v>10000</v>
      </c>
      <c r="AT14" s="50">
        <f t="shared" si="24"/>
        <v>1000</v>
      </c>
      <c r="AU14" s="50">
        <f t="shared" si="24"/>
        <v>11000</v>
      </c>
      <c r="AV14" s="50">
        <f t="shared" si="24"/>
        <v>11000</v>
      </c>
      <c r="AW14" s="50">
        <f t="shared" si="24"/>
        <v>10000</v>
      </c>
      <c r="AX14" s="50">
        <f t="shared" si="24"/>
        <v>1000</v>
      </c>
      <c r="AY14" s="50">
        <f t="shared" si="24"/>
        <v>11000</v>
      </c>
      <c r="AZ14" s="50">
        <f t="shared" si="24"/>
        <v>7000</v>
      </c>
      <c r="BA14" s="50">
        <f t="shared" si="24"/>
        <v>1000</v>
      </c>
      <c r="BB14" s="50">
        <f t="shared" si="24"/>
        <v>8000</v>
      </c>
      <c r="BC14" s="50">
        <f t="shared" si="24"/>
        <v>30000</v>
      </c>
      <c r="BD14" s="50">
        <f t="shared" si="24"/>
        <v>171090</v>
      </c>
      <c r="BE14" s="50">
        <f t="shared" si="24"/>
        <v>141090</v>
      </c>
      <c r="BF14" s="50">
        <f t="shared" si="24"/>
        <v>0</v>
      </c>
    </row>
    <row r="15" spans="1:58" s="168" customFormat="1" ht="28.5" customHeight="1" thickBot="1">
      <c r="A15" s="166"/>
      <c r="B15" s="167" t="s">
        <v>4</v>
      </c>
      <c r="C15" s="43">
        <v>3643654.47</v>
      </c>
      <c r="D15" s="43">
        <f aca="true" t="shared" si="25" ref="D15:M15">D12+D14</f>
        <v>311450.93</v>
      </c>
      <c r="E15" s="43">
        <f t="shared" si="25"/>
        <v>346131.38999999996</v>
      </c>
      <c r="F15" s="35">
        <f t="shared" si="25"/>
        <v>5477.889999999999</v>
      </c>
      <c r="G15" s="43">
        <f t="shared" si="25"/>
        <v>205261.1030769231</v>
      </c>
      <c r="H15" s="43">
        <f t="shared" si="25"/>
        <v>282549.07</v>
      </c>
      <c r="I15" s="35">
        <f t="shared" si="25"/>
        <v>5477.89</v>
      </c>
      <c r="J15" s="43">
        <f t="shared" si="25"/>
        <v>299870.7</v>
      </c>
      <c r="K15" s="43">
        <f t="shared" si="25"/>
        <v>357557.91000000003</v>
      </c>
      <c r="L15" s="267">
        <f t="shared" si="25"/>
        <v>-57687.210000000014</v>
      </c>
      <c r="M15" s="43">
        <f t="shared" si="25"/>
        <v>288556.69</v>
      </c>
      <c r="N15" s="43"/>
      <c r="O15" s="43">
        <f aca="true" t="shared" si="26" ref="O15:BF15">O12+O14</f>
        <v>391776.66000000003</v>
      </c>
      <c r="P15" s="140">
        <f t="shared" si="26"/>
        <v>1.7300000000032014</v>
      </c>
      <c r="Q15" s="228">
        <f t="shared" si="26"/>
        <v>1095465.96</v>
      </c>
      <c r="R15" s="106">
        <f t="shared" si="26"/>
        <v>318855.64999999997</v>
      </c>
      <c r="S15" s="106">
        <f t="shared" si="26"/>
        <v>336623.68</v>
      </c>
      <c r="T15" s="140">
        <f t="shared" si="26"/>
        <v>1062.2099999999991</v>
      </c>
      <c r="U15" s="43">
        <f t="shared" si="26"/>
        <v>268091.919375</v>
      </c>
      <c r="V15" s="376">
        <f t="shared" si="26"/>
        <v>1063.9400000000023</v>
      </c>
      <c r="W15" s="43">
        <f t="shared" si="26"/>
        <v>1923600</v>
      </c>
      <c r="X15" s="43">
        <f t="shared" si="26"/>
        <v>274743.92</v>
      </c>
      <c r="Y15" s="43">
        <f t="shared" si="26"/>
        <v>297118.02</v>
      </c>
      <c r="Z15" s="43">
        <f t="shared" si="26"/>
        <v>387383.43999999994</v>
      </c>
      <c r="AA15" s="267">
        <f t="shared" si="26"/>
        <v>0</v>
      </c>
      <c r="AB15" s="43">
        <f t="shared" si="26"/>
        <v>315160.01</v>
      </c>
      <c r="AC15" s="43">
        <f t="shared" si="26"/>
        <v>393240.57</v>
      </c>
      <c r="AD15" s="140">
        <f t="shared" si="26"/>
        <v>1.2000000000043656</v>
      </c>
      <c r="AE15" s="228">
        <f t="shared" si="26"/>
        <v>1117247.69</v>
      </c>
      <c r="AF15" s="43">
        <f t="shared" si="26"/>
        <v>315057.8</v>
      </c>
      <c r="AG15" s="43">
        <f t="shared" si="26"/>
        <v>387906.53</v>
      </c>
      <c r="AH15" s="140">
        <f t="shared" si="26"/>
        <v>0</v>
      </c>
      <c r="AI15" s="43">
        <f t="shared" si="26"/>
        <v>310421.67</v>
      </c>
      <c r="AJ15" s="43">
        <f t="shared" si="26"/>
        <v>379198.16000000003</v>
      </c>
      <c r="AK15" s="140">
        <f t="shared" si="26"/>
        <v>105.59000000000378</v>
      </c>
      <c r="AL15" s="43">
        <f t="shared" si="26"/>
        <v>263142.67000000004</v>
      </c>
      <c r="AM15" s="43">
        <f>AM12+AM14</f>
        <v>343088.06</v>
      </c>
      <c r="AN15" s="140">
        <f>AN12+AN14</f>
        <v>1828.0900000000038</v>
      </c>
      <c r="AO15" s="43">
        <f t="shared" si="26"/>
        <v>1110192.75</v>
      </c>
      <c r="AP15" s="43">
        <f>AP12+AP14</f>
        <v>269782.6066666667</v>
      </c>
      <c r="AQ15" s="35">
        <f>AQ12+AQ14</f>
        <v>1934.88</v>
      </c>
      <c r="AR15" s="43">
        <f t="shared" si="26"/>
        <v>445800</v>
      </c>
      <c r="AS15" s="43">
        <f t="shared" si="26"/>
        <v>290000</v>
      </c>
      <c r="AT15" s="43">
        <f t="shared" si="26"/>
        <v>66000</v>
      </c>
      <c r="AU15" s="43">
        <f t="shared" si="26"/>
        <v>324247.69</v>
      </c>
      <c r="AV15" s="43">
        <f t="shared" si="26"/>
        <v>326182.57</v>
      </c>
      <c r="AW15" s="43">
        <f t="shared" si="26"/>
        <v>136260</v>
      </c>
      <c r="AX15" s="43">
        <f t="shared" si="26"/>
        <v>188095</v>
      </c>
      <c r="AY15" s="43">
        <f t="shared" si="26"/>
        <v>324355</v>
      </c>
      <c r="AZ15" s="43">
        <f t="shared" si="26"/>
        <v>7000</v>
      </c>
      <c r="BA15" s="43">
        <f t="shared" si="26"/>
        <v>191705</v>
      </c>
      <c r="BB15" s="43">
        <f t="shared" si="26"/>
        <v>198705</v>
      </c>
      <c r="BC15" s="43">
        <f t="shared" si="26"/>
        <v>849242.5700000002</v>
      </c>
      <c r="BD15" s="43">
        <f t="shared" si="26"/>
        <v>4172148.97</v>
      </c>
      <c r="BE15" s="43">
        <f t="shared" si="26"/>
        <v>3322906.4</v>
      </c>
      <c r="BF15" s="228">
        <f t="shared" si="26"/>
        <v>0</v>
      </c>
    </row>
    <row r="16" spans="1:57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S19*100/U15</f>
        <v>0.3968564224092822</v>
      </c>
      <c r="W16" s="144"/>
      <c r="X16" s="144"/>
      <c r="Y16" s="144"/>
      <c r="Z16" s="402" t="s">
        <v>64</v>
      </c>
      <c r="AA16" s="403">
        <f>-(AA15)</f>
        <v>0</v>
      </c>
      <c r="AB16" s="144"/>
      <c r="AC16" s="402" t="s">
        <v>64</v>
      </c>
      <c r="AD16" s="403">
        <f>-(AD5+AD7+AD8+AD9+AD10+AD11+AD13)</f>
        <v>78081.75999999998</v>
      </c>
      <c r="AE16" s="144"/>
      <c r="AF16" s="144"/>
      <c r="AG16" s="402" t="s">
        <v>64</v>
      </c>
      <c r="AH16" s="403">
        <f>-(AH5+AH6+AH7+AH8+AH9+AH11+AH13)</f>
        <v>72848.72999999998</v>
      </c>
      <c r="AI16" s="144"/>
      <c r="AJ16" s="402" t="s">
        <v>64</v>
      </c>
      <c r="AK16" s="403">
        <f>-(AK5+AK7+AK8+AK9+AK11+AK13)-83.06</f>
        <v>68799.02000000002</v>
      </c>
      <c r="AL16" s="170"/>
      <c r="AM16" s="402" t="s">
        <v>64</v>
      </c>
      <c r="AN16" s="403">
        <f>-(AN7+AN8+AN9+AN10+AN11+AN13)</f>
        <v>81773.48</v>
      </c>
      <c r="AO16" s="486"/>
      <c r="AP16" s="486"/>
      <c r="AQ16" s="486"/>
      <c r="AR16" s="486"/>
      <c r="AS16" s="487"/>
      <c r="AT16" s="31"/>
      <c r="AU16" s="31"/>
      <c r="AV16" s="31"/>
      <c r="AW16" s="144"/>
      <c r="AX16" s="144"/>
      <c r="AY16" s="144"/>
      <c r="AZ16" s="144"/>
      <c r="BA16" s="144"/>
      <c r="BB16" s="144"/>
      <c r="BC16" s="144"/>
      <c r="BD16" s="272"/>
      <c r="BE16" s="230"/>
    </row>
    <row r="17" spans="1:57" s="42" customFormat="1" ht="25.5" customHeight="1" thickBot="1">
      <c r="A17" s="29"/>
      <c r="B17" s="40"/>
      <c r="C17" s="504"/>
      <c r="D17" s="144"/>
      <c r="E17" s="505"/>
      <c r="F17" s="270"/>
      <c r="G17" s="506"/>
      <c r="H17" s="31"/>
      <c r="I17" s="31"/>
      <c r="J17" s="296"/>
      <c r="K17" s="296"/>
      <c r="L17" s="507"/>
      <c r="M17" s="269"/>
      <c r="N17" s="269"/>
      <c r="O17" s="270"/>
      <c r="P17" s="356"/>
      <c r="Q17" s="144"/>
      <c r="R17" s="508"/>
      <c r="S17" s="508"/>
      <c r="T17" s="356"/>
      <c r="U17" s="356"/>
      <c r="V17" s="509"/>
      <c r="W17" s="144"/>
      <c r="X17" s="144"/>
      <c r="Y17" s="144"/>
      <c r="Z17" s="144"/>
      <c r="AA17" s="76"/>
      <c r="AB17" s="144"/>
      <c r="AC17" s="144"/>
      <c r="AD17" s="76"/>
      <c r="AE17" s="144"/>
      <c r="AF17" s="144"/>
      <c r="AG17" s="144"/>
      <c r="AH17" s="76"/>
      <c r="AI17" s="144"/>
      <c r="AJ17" s="144"/>
      <c r="AK17" s="76"/>
      <c r="AL17" s="144"/>
      <c r="AM17" s="404" t="s">
        <v>171</v>
      </c>
      <c r="AN17" s="498">
        <f>1.2+105.59+1828.09</f>
        <v>1934.8799999999999</v>
      </c>
      <c r="AO17" s="496" t="s">
        <v>172</v>
      </c>
      <c r="AP17" s="497">
        <f>AN17*100/AP15</f>
        <v>0.7171996830732181</v>
      </c>
      <c r="AQ17" s="31"/>
      <c r="AR17" s="31"/>
      <c r="AS17" s="31"/>
      <c r="AT17" s="31"/>
      <c r="AU17" s="31"/>
      <c r="AV17" s="31"/>
      <c r="AW17" s="144"/>
      <c r="AX17" s="144"/>
      <c r="AY17" s="144"/>
      <c r="AZ17" s="144"/>
      <c r="BA17" s="144"/>
      <c r="BB17" s="144"/>
      <c r="BC17" s="144"/>
      <c r="BD17" s="272"/>
      <c r="BE17" s="230"/>
    </row>
    <row r="18" spans="1:57" s="42" customFormat="1" ht="25.5" customHeight="1" thickBot="1">
      <c r="A18" s="29"/>
      <c r="B18" s="40"/>
      <c r="C18" s="504"/>
      <c r="D18" s="144"/>
      <c r="E18" s="505"/>
      <c r="F18" s="270"/>
      <c r="G18" s="506"/>
      <c r="H18" s="31"/>
      <c r="I18" s="31"/>
      <c r="J18" s="296"/>
      <c r="K18" s="296"/>
      <c r="L18" s="507"/>
      <c r="M18" s="269"/>
      <c r="N18" s="269"/>
      <c r="O18" s="270"/>
      <c r="P18" s="356"/>
      <c r="Q18" s="144"/>
      <c r="R18" s="508"/>
      <c r="S18" s="508"/>
      <c r="T18" s="356"/>
      <c r="U18" s="356"/>
      <c r="V18" s="509"/>
      <c r="W18" s="144"/>
      <c r="X18" s="144"/>
      <c r="Y18" s="144"/>
      <c r="Z18" s="144"/>
      <c r="AA18" s="76"/>
      <c r="AB18" s="144"/>
      <c r="AC18" s="144"/>
      <c r="AD18" s="76"/>
      <c r="AE18" s="144"/>
      <c r="AF18" s="144"/>
      <c r="AG18" s="144"/>
      <c r="AH18" s="76"/>
      <c r="AI18" s="144"/>
      <c r="AJ18" s="144"/>
      <c r="AK18" s="76"/>
      <c r="AL18" s="144"/>
      <c r="AM18" s="144"/>
      <c r="AN18" s="76"/>
      <c r="AO18" s="31"/>
      <c r="AP18" s="31"/>
      <c r="AQ18" s="31"/>
      <c r="AR18" s="31"/>
      <c r="AS18" s="31"/>
      <c r="AT18" s="31"/>
      <c r="AU18" s="31"/>
      <c r="AV18" s="31"/>
      <c r="AW18" s="144"/>
      <c r="AX18" s="144"/>
      <c r="AY18" s="144"/>
      <c r="AZ18" s="144"/>
      <c r="BA18" s="144"/>
      <c r="BB18" s="144"/>
      <c r="BC18" s="144"/>
      <c r="BD18" s="272"/>
      <c r="BE18" s="230"/>
    </row>
    <row r="19" spans="1:105" s="42" customFormat="1" ht="18.75" customHeight="1" thickBot="1">
      <c r="A19" s="29"/>
      <c r="B19" s="40"/>
      <c r="C19" s="66"/>
      <c r="D19" s="31"/>
      <c r="E19" s="41"/>
      <c r="F19" s="31"/>
      <c r="G19" s="31"/>
      <c r="H19" s="31"/>
      <c r="I19" s="31"/>
      <c r="J19" s="555"/>
      <c r="K19" s="555"/>
      <c r="L19" s="31"/>
      <c r="M19" s="31"/>
      <c r="N19" s="31"/>
      <c r="O19" s="278"/>
      <c r="P19" s="31"/>
      <c r="Q19" s="581" t="s">
        <v>106</v>
      </c>
      <c r="R19" s="582"/>
      <c r="S19" s="353">
        <f>P15+T15</f>
        <v>1063.9400000000023</v>
      </c>
      <c r="BD19" s="226"/>
      <c r="BE19" s="226"/>
      <c r="BF19" s="226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</row>
    <row r="20" spans="2:58" s="28" customFormat="1" ht="52.5" customHeight="1" thickBot="1">
      <c r="B20" s="57" t="s">
        <v>16</v>
      </c>
      <c r="C20" s="176" t="s">
        <v>51</v>
      </c>
      <c r="D20" s="18" t="s">
        <v>52</v>
      </c>
      <c r="E20" s="37" t="s">
        <v>18</v>
      </c>
      <c r="F20" s="72" t="s">
        <v>53</v>
      </c>
      <c r="G20" s="129" t="s">
        <v>33</v>
      </c>
      <c r="H20" s="18" t="s">
        <v>54</v>
      </c>
      <c r="I20" s="130" t="s">
        <v>56</v>
      </c>
      <c r="J20" s="132" t="s">
        <v>57</v>
      </c>
      <c r="K20" s="37" t="s">
        <v>19</v>
      </c>
      <c r="L20" s="72" t="s">
        <v>37</v>
      </c>
      <c r="M20" s="19" t="s">
        <v>84</v>
      </c>
      <c r="N20" s="300" t="s">
        <v>77</v>
      </c>
      <c r="O20" s="299" t="s">
        <v>32</v>
      </c>
      <c r="P20" s="72" t="s">
        <v>49</v>
      </c>
      <c r="Q20" s="185" t="s">
        <v>58</v>
      </c>
      <c r="R20" s="311" t="s">
        <v>86</v>
      </c>
      <c r="S20" s="37" t="s">
        <v>95</v>
      </c>
      <c r="T20" s="72" t="s">
        <v>96</v>
      </c>
      <c r="U20" s="372"/>
      <c r="V20" s="390" t="s">
        <v>122</v>
      </c>
      <c r="W20" s="334" t="s">
        <v>97</v>
      </c>
      <c r="X20" s="311" t="s">
        <v>88</v>
      </c>
      <c r="Y20" s="377" t="s">
        <v>123</v>
      </c>
      <c r="Z20" s="37" t="s">
        <v>127</v>
      </c>
      <c r="AA20" s="72" t="s">
        <v>128</v>
      </c>
      <c r="AB20" s="311" t="s">
        <v>89</v>
      </c>
      <c r="AC20" s="37" t="s">
        <v>132</v>
      </c>
      <c r="AD20" s="72" t="s">
        <v>133</v>
      </c>
      <c r="AE20" s="185" t="s">
        <v>87</v>
      </c>
      <c r="AF20" s="358" t="s">
        <v>99</v>
      </c>
      <c r="AG20" s="37" t="s">
        <v>136</v>
      </c>
      <c r="AH20" s="72" t="s">
        <v>137</v>
      </c>
      <c r="AI20" s="358" t="s">
        <v>98</v>
      </c>
      <c r="AJ20" s="37" t="s">
        <v>144</v>
      </c>
      <c r="AK20" s="72" t="s">
        <v>145</v>
      </c>
      <c r="AL20" s="311" t="s">
        <v>113</v>
      </c>
      <c r="AM20" s="37" t="s">
        <v>163</v>
      </c>
      <c r="AN20" s="72" t="s">
        <v>164</v>
      </c>
      <c r="AO20" s="357" t="s">
        <v>166</v>
      </c>
      <c r="AP20" s="130"/>
      <c r="AQ20" s="501" t="s">
        <v>170</v>
      </c>
      <c r="AR20" s="300" t="s">
        <v>153</v>
      </c>
      <c r="AS20" s="358" t="s">
        <v>102</v>
      </c>
      <c r="AT20" s="453" t="s">
        <v>154</v>
      </c>
      <c r="AU20" s="457" t="s">
        <v>155</v>
      </c>
      <c r="AV20" s="503" t="s">
        <v>174</v>
      </c>
      <c r="AW20" s="358" t="s">
        <v>103</v>
      </c>
      <c r="AX20" s="453" t="s">
        <v>154</v>
      </c>
      <c r="AY20" s="457" t="s">
        <v>156</v>
      </c>
      <c r="AZ20" s="358" t="s">
        <v>104</v>
      </c>
      <c r="BA20" s="453" t="s">
        <v>154</v>
      </c>
      <c r="BB20" s="457" t="s">
        <v>157</v>
      </c>
      <c r="BC20" s="357" t="s">
        <v>158</v>
      </c>
      <c r="BD20" s="225" t="s">
        <v>159</v>
      </c>
      <c r="BE20" s="219" t="s">
        <v>55</v>
      </c>
      <c r="BF20" s="96" t="s">
        <v>130</v>
      </c>
    </row>
    <row r="21" spans="2:58" s="28" customFormat="1" ht="27.75" customHeight="1" thickBot="1">
      <c r="B21" s="58" t="s">
        <v>13</v>
      </c>
      <c r="C21" s="177">
        <v>6934030.47</v>
      </c>
      <c r="D21" s="59">
        <f>D15+'IAN2022-R'!D21</f>
        <v>511471.01</v>
      </c>
      <c r="E21" s="60">
        <f>E15+'IAN2022-R'!E21</f>
        <v>603378.3899999999</v>
      </c>
      <c r="F21" s="70">
        <f>F15+'IAN2022-R'!F21</f>
        <v>10790.510000000002</v>
      </c>
      <c r="G21" s="137"/>
      <c r="H21" s="85">
        <f>H15+'IAN2022-R'!H21</f>
        <v>478528.99</v>
      </c>
      <c r="I21" s="82">
        <f>I15+'IAN2022-R'!I21</f>
        <v>10790.510000000002</v>
      </c>
      <c r="J21" s="285">
        <f>J15+'FEB2022-R'!J21</f>
        <v>503109.49</v>
      </c>
      <c r="K21" s="286">
        <f>K15+'FEB2022-R'!K21</f>
        <v>603478.91</v>
      </c>
      <c r="L21" s="287">
        <f>'FEB2022-R'!L21</f>
        <v>3103.814863649889</v>
      </c>
      <c r="M21" s="288">
        <f>M15+'MAR2022-R'!P21</f>
        <v>487743.3148636499</v>
      </c>
      <c r="N21" s="301">
        <f>M15+'MAR2022-R'!P21</f>
        <v>487743.3148636499</v>
      </c>
      <c r="O21" s="289">
        <f>O15+'MAR2022-R'!Q21</f>
        <v>759655.66</v>
      </c>
      <c r="P21" s="82">
        <f>P15+'MAR2022-R'!R21</f>
        <v>986.0518275625462</v>
      </c>
      <c r="Q21" s="291">
        <f>Q15+'IUL2022-R'!S21</f>
        <v>1966512.96</v>
      </c>
      <c r="R21" s="290">
        <f>R15+'APR2022-R'!T21</f>
        <v>520804.25</v>
      </c>
      <c r="S21" s="350">
        <f>S15+'APR2022-R'!U21</f>
        <v>529631.6799999999</v>
      </c>
      <c r="T21" s="290">
        <f>T15+'APR2022-R'!V21</f>
        <v>16602.81</v>
      </c>
      <c r="U21" s="290"/>
      <c r="V21" s="82">
        <f>V15+'APR2022-R'!X21</f>
        <v>17588.86182756255</v>
      </c>
      <c r="W21" s="301">
        <f>W15+'APR2022-R'!Y21</f>
        <v>3206000</v>
      </c>
      <c r="X21" s="290">
        <f>X15+'APR2022-R'!Z21</f>
        <v>468266.26</v>
      </c>
      <c r="Y21" s="379">
        <f>Y15+'MAI2022-R'!AA21</f>
        <v>518660.4418275626</v>
      </c>
      <c r="Z21" s="350">
        <f>Z15+'MAI2022-R'!AB21</f>
        <v>693094.44</v>
      </c>
      <c r="AA21" s="82">
        <f>'MAI2022-R'!AC21</f>
        <v>341</v>
      </c>
      <c r="AB21" s="290">
        <f>AB15+'IUL2022-R'!AD21</f>
        <v>512500.01</v>
      </c>
      <c r="AC21" s="350">
        <f>AC15+'IUL2022-R'!AE21</f>
        <v>679824.5700000001</v>
      </c>
      <c r="AD21" s="82">
        <f>AD15+'IUL2022-R'!AF21</f>
        <v>390.20000000000437</v>
      </c>
      <c r="AE21" s="370">
        <f>AE15+'IUL2022-R'!AG21</f>
        <v>1902550.69</v>
      </c>
      <c r="AF21" s="290">
        <f>AF15+'IUL2022-R'!AH21</f>
        <v>499277.8</v>
      </c>
      <c r="AG21" s="350">
        <f>AG15+'IUL2022-R'!AI21</f>
        <v>626636.53</v>
      </c>
      <c r="AH21" s="82">
        <f>AH15+'IUL2022-R'!AJ21</f>
        <v>1067</v>
      </c>
      <c r="AI21" s="290">
        <f>AI15+'AUG2022-R'!AK21</f>
        <v>506538.67</v>
      </c>
      <c r="AJ21" s="350">
        <f>AJ15+'AUG2022-R'!AL21</f>
        <v>673000.16</v>
      </c>
      <c r="AK21" s="82">
        <f>AK15+'AUG2022-R'!AM21</f>
        <v>895.5900000000038</v>
      </c>
      <c r="AL21" s="290">
        <f>AL15+'SEP2022-R'!AN22</f>
        <v>460413.04000000004</v>
      </c>
      <c r="AM21" s="350">
        <f>AM15+'SEP2022-R'!AO22</f>
        <v>652579.06</v>
      </c>
      <c r="AN21" s="82">
        <f>AN15+'SEP2022-R'!AP22</f>
        <v>3583.4600000000028</v>
      </c>
      <c r="AO21" s="370">
        <f>AO15+'SEP2022-R'!AQ22</f>
        <v>1952215.75</v>
      </c>
      <c r="AP21" s="510"/>
      <c r="AQ21" s="82">
        <f>AQ15+'SEP2022-R'!AS22</f>
        <v>6277.25</v>
      </c>
      <c r="AR21" s="301">
        <f>AR15+'TR 4 2022-R'!AP22</f>
        <v>743000</v>
      </c>
      <c r="AS21" s="290">
        <f>AS15+'TR 4 2022-R'!AQ22</f>
        <v>487043</v>
      </c>
      <c r="AT21" s="459">
        <f>AT15+'TR 4 2022-R'!AR22</f>
        <v>111022</v>
      </c>
      <c r="AU21" s="460">
        <f>AU15+'SEP2022-R'!AW22</f>
        <v>564030.16</v>
      </c>
      <c r="AV21" s="290">
        <f>AV15+'SEP2022-R'!AX22</f>
        <v>570307.41</v>
      </c>
      <c r="AW21" s="290">
        <f>AW15+'TR 4 2022-R'!AT22</f>
        <v>233642.41502272003</v>
      </c>
      <c r="AX21" s="459">
        <f>AX15+'TR 4 2022-R'!AU22</f>
        <v>310450</v>
      </c>
      <c r="AY21" s="460">
        <f>AY15+'TR 4 2022-R'!AV22</f>
        <v>544092.41502272</v>
      </c>
      <c r="AZ21" s="290">
        <f>AZ15+'TR 4 2022-R'!AW22</f>
        <v>15314.58453192003</v>
      </c>
      <c r="BA21" s="459">
        <f>BA15+'TR 4 2022-R'!AX22</f>
        <v>321528</v>
      </c>
      <c r="BB21" s="460">
        <f>BB15+'TR 4 2022-R'!AY22</f>
        <v>336842.58453192003</v>
      </c>
      <c r="BC21" s="291">
        <f>BC15+'SEP2022-R'!BE22</f>
        <v>1451242.4095546403</v>
      </c>
      <c r="BD21" s="360">
        <f>BD15+'SEP2022-R'!BF22</f>
        <v>7272521.80955464</v>
      </c>
      <c r="BE21" s="361">
        <f>BE15+'SEP2022-R'!BG22</f>
        <v>5821279.4</v>
      </c>
      <c r="BF21" s="290"/>
    </row>
    <row r="22" spans="3:57" ht="41.25" customHeight="1" thickBot="1">
      <c r="C22" s="246" t="s">
        <v>125</v>
      </c>
      <c r="D22" s="178">
        <v>82730.46999999974</v>
      </c>
      <c r="E22" s="295" t="s">
        <v>74</v>
      </c>
      <c r="F22" s="249">
        <f>E16+'IAN2022-R'!E22</f>
        <v>102697.89</v>
      </c>
      <c r="G22" s="583" t="s">
        <v>69</v>
      </c>
      <c r="H22" s="584"/>
      <c r="I22" s="584"/>
      <c r="J22" s="556" t="s">
        <v>78</v>
      </c>
      <c r="K22" s="557"/>
      <c r="L22" s="184">
        <f>L16+'FEB2022-R'!K22</f>
        <v>103473.23486364991</v>
      </c>
      <c r="N22" s="585" t="s">
        <v>91</v>
      </c>
      <c r="O22" s="586"/>
      <c r="P22" s="206">
        <f>P16+'MAR2022-R'!R22</f>
        <v>272898.39</v>
      </c>
      <c r="Q22" s="282"/>
      <c r="R22" s="585" t="s">
        <v>117</v>
      </c>
      <c r="S22" s="586"/>
      <c r="T22" s="206">
        <f>T16+'APR2022-R'!V22</f>
        <v>25430.23999999999</v>
      </c>
      <c r="U22" s="282"/>
      <c r="V22" s="282"/>
      <c r="W22" s="282"/>
      <c r="X22" s="371">
        <f>S19+'APR2022-R'!V24</f>
        <v>17588.86182756255</v>
      </c>
      <c r="Y22" s="585" t="s">
        <v>129</v>
      </c>
      <c r="Z22" s="586"/>
      <c r="AA22" s="401">
        <f>AA16+'MAI2022-R'!AB22</f>
        <v>84509.57895299152</v>
      </c>
      <c r="AB22" s="585" t="s">
        <v>135</v>
      </c>
      <c r="AC22" s="586"/>
      <c r="AD22" s="401">
        <f>AD16+'IUL2022-R'!AE22</f>
        <v>167504.75999999998</v>
      </c>
      <c r="AE22" s="282"/>
      <c r="AF22" s="282"/>
      <c r="AG22" s="585" t="s">
        <v>138</v>
      </c>
      <c r="AH22" s="586"/>
      <c r="AI22" s="401">
        <f>AH16+'IUL2022-R'!AJ22</f>
        <v>128425.72999999998</v>
      </c>
      <c r="AJ22" s="434" t="s">
        <v>146</v>
      </c>
      <c r="AK22" s="206">
        <f>AK16+'AUG2022-R'!AM22</f>
        <v>167274.02000000002</v>
      </c>
      <c r="AL22" s="488"/>
      <c r="AM22" s="434" t="s">
        <v>165</v>
      </c>
      <c r="AN22" s="206">
        <f>AN16+'SEP2022-R'!AP23</f>
        <v>195749.47999999998</v>
      </c>
      <c r="AO22" s="489"/>
      <c r="AP22" s="489"/>
      <c r="AQ22" s="489"/>
      <c r="AR22" s="489"/>
      <c r="AS22" s="490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330"/>
      <c r="BE22" s="331"/>
    </row>
    <row r="23" spans="2:57" ht="23.25" customHeight="1" thickBot="1">
      <c r="B23" s="241" t="s">
        <v>79</v>
      </c>
      <c r="C23" s="242">
        <v>1485000</v>
      </c>
      <c r="D23" s="163"/>
      <c r="E23" s="198">
        <f>F22+L22</f>
        <v>206171.1248636499</v>
      </c>
      <c r="F23" s="303" t="s">
        <v>80</v>
      </c>
      <c r="G23" s="163"/>
      <c r="H23" s="163"/>
      <c r="I23" s="163"/>
      <c r="J23" s="88"/>
      <c r="K23" s="116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412" t="s">
        <v>134</v>
      </c>
      <c r="AD23" s="413">
        <f>'IUL2022-R'!AF24</f>
        <v>210.00000000000182</v>
      </c>
      <c r="AE23" s="88"/>
      <c r="AF23" s="88"/>
      <c r="AG23" s="88"/>
      <c r="AH23" s="88"/>
      <c r="AI23" s="88">
        <f>AI22-82730</f>
        <v>45695.72999999998</v>
      </c>
      <c r="AJ23" s="88"/>
      <c r="AK23" s="438"/>
      <c r="AL23" s="439">
        <f>AK22+AS22</f>
        <v>167274.02000000002</v>
      </c>
      <c r="AM23" s="479"/>
      <c r="AN23" s="479"/>
      <c r="AO23" s="88"/>
      <c r="AP23" s="88"/>
      <c r="AQ23" s="88"/>
      <c r="AR23" s="88"/>
      <c r="AS23" s="88"/>
      <c r="AT23" s="88"/>
      <c r="AU23" s="88"/>
      <c r="AV23" s="88"/>
      <c r="AW23" s="450" t="s">
        <v>151</v>
      </c>
      <c r="AX23" s="450"/>
      <c r="AY23" s="450"/>
      <c r="AZ23" s="450"/>
      <c r="BA23" s="450"/>
      <c r="BB23" s="450"/>
      <c r="BC23" s="450">
        <v>743000</v>
      </c>
      <c r="BD23" s="279" t="s">
        <v>70</v>
      </c>
      <c r="BE23" s="234">
        <f>BD21-7159300</f>
        <v>113221.8095546402</v>
      </c>
    </row>
    <row r="24" spans="2:57" ht="25.5" customHeight="1" hidden="1" thickBot="1">
      <c r="B24" s="154"/>
      <c r="C24" s="155">
        <v>466000</v>
      </c>
      <c r="D24" s="164"/>
      <c r="E24" s="262"/>
      <c r="F24" s="164"/>
      <c r="G24" s="164"/>
      <c r="H24" s="164"/>
      <c r="I24" s="164"/>
      <c r="J24" s="280" t="s">
        <v>41</v>
      </c>
      <c r="K24" s="281" t="e">
        <f>L16+#REF!</f>
        <v>#REF!</v>
      </c>
      <c r="L24" s="164"/>
      <c r="M24" s="164"/>
      <c r="N24" s="164"/>
      <c r="O24" s="164"/>
      <c r="P24" s="164"/>
      <c r="Q24" s="159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233" t="e">
        <f>#REF!</f>
        <v>#REF!</v>
      </c>
      <c r="BE24" s="41" t="e">
        <f>BE23-#REF!</f>
        <v>#REF!</v>
      </c>
    </row>
    <row r="25" spans="2:57" ht="25.5" customHeight="1" hidden="1" thickBot="1">
      <c r="B25" s="157"/>
      <c r="C25" s="161"/>
      <c r="D25" s="158"/>
      <c r="E25" s="158"/>
      <c r="F25" s="158"/>
      <c r="G25" s="158"/>
      <c r="H25" s="158"/>
      <c r="I25" s="158"/>
      <c r="J25" s="158"/>
      <c r="K25" s="158"/>
      <c r="L25" s="158"/>
      <c r="M25" s="158" t="s">
        <v>42</v>
      </c>
      <c r="N25" s="158"/>
      <c r="O25" s="158"/>
      <c r="P25" s="158"/>
      <c r="Q25" s="161" t="e">
        <f>C23+Q23-K24</f>
        <v>#REF!</v>
      </c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232">
        <v>667000</v>
      </c>
      <c r="BE25" s="211"/>
    </row>
    <row r="26" spans="2:57" ht="25.5" customHeight="1" hidden="1" thickBot="1">
      <c r="B26" s="188"/>
      <c r="C26" s="199">
        <v>3070000</v>
      </c>
      <c r="D26" s="162"/>
      <c r="E26" s="209">
        <v>3186320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5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116" t="e">
        <f>BD24-BD25</f>
        <v>#REF!</v>
      </c>
      <c r="BE26" s="36"/>
    </row>
    <row r="27" spans="2:57" ht="19.5" customHeight="1" hidden="1" thickBot="1">
      <c r="B27" s="188"/>
      <c r="C27" s="214">
        <v>72293.07</v>
      </c>
      <c r="D27" s="215"/>
      <c r="E27" s="215">
        <v>3323950</v>
      </c>
      <c r="Q27" s="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116"/>
      <c r="BE27" s="36"/>
    </row>
    <row r="28" spans="2:57" ht="25.5" customHeight="1" hidden="1" thickBot="1">
      <c r="B28" s="217"/>
      <c r="C28" s="218">
        <v>3982180</v>
      </c>
      <c r="Q28" s="152">
        <v>3982180</v>
      </c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210"/>
      <c r="BE28" s="212"/>
    </row>
    <row r="29" spans="2:57" ht="24" customHeight="1" thickBot="1">
      <c r="B29" s="188"/>
      <c r="C29" s="220"/>
      <c r="D29" s="221"/>
      <c r="E29" s="222"/>
      <c r="AM29" s="28" t="s">
        <v>168</v>
      </c>
      <c r="AN29" s="28" t="s">
        <v>167</v>
      </c>
      <c r="AO29" s="71">
        <f>1.2+105.59+1828.09</f>
        <v>1934.8799999999999</v>
      </c>
      <c r="AP29" s="71"/>
      <c r="AQ29" s="71"/>
      <c r="AW29" s="420"/>
      <c r="AX29" s="451"/>
      <c r="AY29" s="451"/>
      <c r="AZ29" s="451"/>
      <c r="BA29" s="451"/>
      <c r="BB29" s="451"/>
      <c r="BC29" s="455"/>
      <c r="BD29" s="446" t="s">
        <v>131</v>
      </c>
      <c r="BE29" s="447">
        <f>AA21+AD21+AH21+AK21+AN21</f>
        <v>6277.250000000011</v>
      </c>
    </row>
    <row r="30" spans="2:57" ht="15" customHeight="1" thickBot="1">
      <c r="B30" s="223" t="s">
        <v>60</v>
      </c>
      <c r="C30" s="244" t="s">
        <v>149</v>
      </c>
      <c r="D30" s="247" t="s">
        <v>118</v>
      </c>
      <c r="E30" s="183"/>
      <c r="F30" s="302"/>
      <c r="G30" s="302"/>
      <c r="H30" s="302"/>
      <c r="I30" s="302"/>
      <c r="J30" s="302"/>
      <c r="K30" s="302"/>
      <c r="L30" s="302"/>
      <c r="M30" s="302"/>
      <c r="N30" s="216"/>
      <c r="O30" s="216"/>
      <c r="P30" s="216"/>
      <c r="Q30" s="243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89"/>
      <c r="AD30" s="304"/>
      <c r="AE30" s="304"/>
      <c r="AF30" s="304"/>
      <c r="AG30" s="304"/>
      <c r="AH30" s="304"/>
      <c r="AI30" s="304"/>
      <c r="AJ30" s="304"/>
      <c r="AK30" s="304"/>
      <c r="AL30" s="304"/>
      <c r="AM30" s="492"/>
      <c r="AN30" s="493" t="s">
        <v>169</v>
      </c>
      <c r="AO30" s="494">
        <f>341+389+1067+790+1755.37</f>
        <v>4342.37</v>
      </c>
      <c r="AP30" s="36"/>
      <c r="AQ30" s="36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478"/>
      <c r="BE30" s="1" t="s">
        <v>175</v>
      </c>
    </row>
    <row r="31" spans="2:57" ht="25.5" customHeight="1" thickBot="1">
      <c r="B31" s="326" t="s">
        <v>92</v>
      </c>
      <c r="C31" s="327" t="s">
        <v>93</v>
      </c>
      <c r="D31" s="2" t="s">
        <v>120</v>
      </c>
      <c r="AF31" s="420"/>
      <c r="AG31" s="421"/>
      <c r="AH31" s="552"/>
      <c r="AI31" s="552"/>
      <c r="AO31" s="82">
        <f>AO29+AO30</f>
        <v>6277.25</v>
      </c>
      <c r="AP31" s="71"/>
      <c r="AQ31" s="71"/>
      <c r="BE31" s="511">
        <v>44851</v>
      </c>
    </row>
    <row r="32" spans="2:5" ht="22.5" customHeight="1" thickBot="1">
      <c r="B32" s="328" t="s">
        <v>94</v>
      </c>
      <c r="C32" s="329">
        <f>1773.9+500</f>
        <v>2273.9</v>
      </c>
      <c r="E32" s="26">
        <f>E21+K21+N21</f>
        <v>1694600.6148636497</v>
      </c>
    </row>
  </sheetData>
  <sheetProtection/>
  <mergeCells count="12">
    <mergeCell ref="AH31:AI31"/>
    <mergeCell ref="J16:K16"/>
    <mergeCell ref="J19:K19"/>
    <mergeCell ref="J22:K22"/>
    <mergeCell ref="Y22:Z22"/>
    <mergeCell ref="R16:S16"/>
    <mergeCell ref="R22:S22"/>
    <mergeCell ref="Q19:R19"/>
    <mergeCell ref="AG22:AH22"/>
    <mergeCell ref="AB22:AC22"/>
    <mergeCell ref="G22:I22"/>
    <mergeCell ref="N22:O22"/>
  </mergeCells>
  <printOptions/>
  <pageMargins left="0.17" right="0.17" top="0.48" bottom="0.21" header="0.68" footer="0.17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70"/>
  <sheetViews>
    <sheetView workbookViewId="0" topLeftCell="A4">
      <selection activeCell="BD22" sqref="BD22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50390625" style="69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10.125" style="8" bestFit="1" customWidth="1"/>
    <col min="20" max="25" width="8.625" style="313" hidden="1" customWidth="1"/>
    <col min="26" max="26" width="7.50390625" style="313" hidden="1" customWidth="1"/>
    <col min="27" max="28" width="8.375" style="313" hidden="1" customWidth="1"/>
    <col min="29" max="29" width="8.875" style="313" hidden="1" customWidth="1"/>
    <col min="30" max="30" width="7.50390625" style="313" hidden="1" customWidth="1"/>
    <col min="31" max="31" width="8.375" style="313" hidden="1" customWidth="1"/>
    <col min="32" max="32" width="8.75390625" style="313" hidden="1" customWidth="1"/>
    <col min="33" max="33" width="10.125" style="313" bestFit="1" customWidth="1"/>
    <col min="34" max="34" width="7.75390625" style="313" hidden="1" customWidth="1"/>
    <col min="35" max="35" width="8.875" style="313" customWidth="1"/>
    <col min="36" max="36" width="8.875" style="313" hidden="1" customWidth="1"/>
    <col min="37" max="37" width="7.75390625" style="313" hidden="1" customWidth="1"/>
    <col min="38" max="38" width="9.375" style="313" customWidth="1"/>
    <col min="39" max="39" width="8.375" style="313" hidden="1" customWidth="1"/>
    <col min="40" max="40" width="9.125" style="313" bestFit="1" customWidth="1"/>
    <col min="41" max="41" width="10.125" style="313" bestFit="1" customWidth="1"/>
    <col min="42" max="42" width="8.75390625" style="313" customWidth="1"/>
    <col min="43" max="43" width="9.125" style="313" bestFit="1" customWidth="1"/>
    <col min="44" max="44" width="7.75390625" style="313" customWidth="1"/>
    <col min="45" max="45" width="9.50390625" style="313" customWidth="1"/>
    <col min="46" max="46" width="7.75390625" style="313" bestFit="1" customWidth="1"/>
    <col min="47" max="47" width="7.75390625" style="313" customWidth="1"/>
    <col min="48" max="48" width="9.75390625" style="313" customWidth="1"/>
    <col min="49" max="49" width="6.875" style="313" bestFit="1" customWidth="1"/>
    <col min="50" max="50" width="9.25390625" style="313" customWidth="1"/>
    <col min="51" max="51" width="9.50390625" style="313" customWidth="1"/>
    <col min="52" max="52" width="9.875" style="313" customWidth="1"/>
    <col min="53" max="53" width="11.625" style="26" customWidth="1"/>
    <col min="54" max="54" width="11.00390625" style="2" customWidth="1"/>
    <col min="55" max="55" width="9.25390625" style="1" hidden="1" customWidth="1"/>
    <col min="56" max="56" width="11.25390625" style="1" customWidth="1"/>
    <col min="57" max="16384" width="9.00390625" style="1" customWidth="1"/>
  </cols>
  <sheetData>
    <row r="1" spans="1:54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25"/>
      <c r="BB1" s="13"/>
    </row>
    <row r="2" ht="43.5" customHeight="1">
      <c r="A2" s="8"/>
    </row>
    <row r="3" spans="1:54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25"/>
      <c r="BB3" s="13"/>
    </row>
    <row r="4" spans="1:55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409" t="s">
        <v>132</v>
      </c>
      <c r="AF4" s="408" t="s">
        <v>133</v>
      </c>
      <c r="AG4" s="185" t="s">
        <v>140</v>
      </c>
      <c r="AH4" s="311" t="s">
        <v>111</v>
      </c>
      <c r="AI4" s="37" t="s">
        <v>136</v>
      </c>
      <c r="AJ4" s="72" t="s">
        <v>143</v>
      </c>
      <c r="AK4" s="311" t="s">
        <v>112</v>
      </c>
      <c r="AL4" s="37" t="s">
        <v>144</v>
      </c>
      <c r="AM4" s="440" t="s">
        <v>145</v>
      </c>
      <c r="AN4" s="311" t="s">
        <v>113</v>
      </c>
      <c r="AO4" s="464" t="s">
        <v>101</v>
      </c>
      <c r="AP4" s="300" t="s">
        <v>153</v>
      </c>
      <c r="AQ4" s="468" t="s">
        <v>102</v>
      </c>
      <c r="AR4" s="453" t="s">
        <v>154</v>
      </c>
      <c r="AS4" s="457" t="s">
        <v>155</v>
      </c>
      <c r="AT4" s="468" t="s">
        <v>103</v>
      </c>
      <c r="AU4" s="453" t="s">
        <v>154</v>
      </c>
      <c r="AV4" s="457" t="s">
        <v>156</v>
      </c>
      <c r="AW4" s="468" t="s">
        <v>116</v>
      </c>
      <c r="AX4" s="453" t="s">
        <v>154</v>
      </c>
      <c r="AY4" s="457" t="s">
        <v>157</v>
      </c>
      <c r="AZ4" s="357" t="s">
        <v>158</v>
      </c>
      <c r="BA4" s="225" t="s">
        <v>159</v>
      </c>
      <c r="BB4" s="219" t="s">
        <v>55</v>
      </c>
      <c r="BC4" s="96" t="s">
        <v>130</v>
      </c>
    </row>
    <row r="5" spans="1:55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407">
        <v>98996</v>
      </c>
      <c r="AF5" s="363">
        <f>AD5-AE5</f>
        <v>4</v>
      </c>
      <c r="AG5" s="78">
        <f>U5+AB5+AE5</f>
        <v>288554</v>
      </c>
      <c r="AH5" s="362">
        <v>99000</v>
      </c>
      <c r="AI5" s="407">
        <v>98993</v>
      </c>
      <c r="AJ5" s="362">
        <f>AH5-AI5</f>
        <v>7</v>
      </c>
      <c r="AK5" s="362">
        <v>99000</v>
      </c>
      <c r="AL5" s="427">
        <v>99000</v>
      </c>
      <c r="AM5" s="424">
        <f>AK5-AL5</f>
        <v>0</v>
      </c>
      <c r="AN5" s="362">
        <v>99000</v>
      </c>
      <c r="AO5" s="465">
        <f>AI5+AL5+AN5</f>
        <v>296993</v>
      </c>
      <c r="AP5" s="340">
        <v>113580.51</v>
      </c>
      <c r="AQ5" s="363">
        <v>99000</v>
      </c>
      <c r="AR5" s="470">
        <v>0</v>
      </c>
      <c r="AS5" s="462">
        <f>AQ5+AR5</f>
        <v>99000</v>
      </c>
      <c r="AT5" s="363">
        <v>19719.81300700002</v>
      </c>
      <c r="AU5" s="470">
        <v>56790</v>
      </c>
      <c r="AV5" s="462">
        <f>AT5+AU5</f>
        <v>76509.81300700002</v>
      </c>
      <c r="AW5" s="363">
        <v>0</v>
      </c>
      <c r="AX5" s="470">
        <f>AP5-AR5-AU5</f>
        <v>56790.509999999995</v>
      </c>
      <c r="AY5" s="462">
        <f>AW5+AX5</f>
        <v>56790.509999999995</v>
      </c>
      <c r="AZ5" s="78">
        <f>AS5+AV5+AY5</f>
        <v>232300.32300700003</v>
      </c>
      <c r="BA5" s="415">
        <f aca="true" t="shared" si="0" ref="BA5:BA11">S5+AG5+AO5+AZ5</f>
        <v>1117155.3230070001</v>
      </c>
      <c r="BB5" s="148">
        <f aca="true" t="shared" si="1" ref="BB5:BB11">S5+AG5+AI5+AL5</f>
        <v>785855</v>
      </c>
      <c r="BC5" s="86"/>
    </row>
    <row r="6" spans="1:55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G6*H23/100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M6*M23/100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40000-9479+11250</f>
        <v>41771</v>
      </c>
      <c r="AE6" s="79">
        <v>45419</v>
      </c>
      <c r="AF6" s="352">
        <f>AD6-AE6</f>
        <v>-3648</v>
      </c>
      <c r="AG6" s="77">
        <f>U6+AB6+AE6</f>
        <v>140945</v>
      </c>
      <c r="AH6" s="83">
        <f>40000-11250</f>
        <v>28750</v>
      </c>
      <c r="AI6" s="79">
        <v>32627</v>
      </c>
      <c r="AJ6" s="418">
        <f>AH6-AI6</f>
        <v>-3877</v>
      </c>
      <c r="AK6" s="83">
        <v>40000</v>
      </c>
      <c r="AL6" s="428">
        <v>48015</v>
      </c>
      <c r="AM6" s="441">
        <f>AK6-AL6</f>
        <v>-8015</v>
      </c>
      <c r="AN6" s="83">
        <v>40000</v>
      </c>
      <c r="AO6" s="466">
        <f>AI6+AL6+AN6</f>
        <v>120642</v>
      </c>
      <c r="AP6" s="341">
        <v>51573.62</v>
      </c>
      <c r="AQ6" s="364">
        <v>40000</v>
      </c>
      <c r="AR6" s="471">
        <v>11217</v>
      </c>
      <c r="AS6" s="463">
        <f>AQ6+AR6</f>
        <v>51217</v>
      </c>
      <c r="AT6" s="364">
        <v>29643.709310200007</v>
      </c>
      <c r="AU6" s="471">
        <v>20357</v>
      </c>
      <c r="AV6" s="463">
        <f>AT6+AU6</f>
        <v>50000.70931020001</v>
      </c>
      <c r="AW6" s="364">
        <v>0</v>
      </c>
      <c r="AX6" s="471">
        <f>AP6-AR6-AU6</f>
        <v>19999.620000000003</v>
      </c>
      <c r="AY6" s="463">
        <f>AW6+AX6</f>
        <v>19999.620000000003</v>
      </c>
      <c r="AZ6" s="77">
        <f>AS6+AV6+AY6</f>
        <v>121217.3293102</v>
      </c>
      <c r="BA6" s="416">
        <f t="shared" si="0"/>
        <v>548571.3293102</v>
      </c>
      <c r="BB6" s="149">
        <f t="shared" si="1"/>
        <v>387354</v>
      </c>
      <c r="BC6" s="87"/>
    </row>
    <row r="7" spans="1:55" s="5" customFormat="1" ht="24" customHeight="1">
      <c r="A7" s="4">
        <v>3</v>
      </c>
      <c r="B7" s="477" t="s">
        <v>160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G7*H23/100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M7*M23/100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W7*X25/100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>AA7-AB7</f>
        <v>-78424.99874254865</v>
      </c>
      <c r="AD7" s="364">
        <f>20000-750.53+2075.53</f>
        <v>21325</v>
      </c>
      <c r="AE7" s="79">
        <v>106925</v>
      </c>
      <c r="AF7" s="352">
        <f>AD7-AE7</f>
        <v>-85600</v>
      </c>
      <c r="AG7" s="77">
        <f>U7+AB7+AE7</f>
        <v>248085</v>
      </c>
      <c r="AH7" s="83">
        <f>20000-2075.53+160.53</f>
        <v>18085</v>
      </c>
      <c r="AI7" s="79">
        <v>68585</v>
      </c>
      <c r="AJ7" s="418">
        <f>AH7-AI7</f>
        <v>-50500</v>
      </c>
      <c r="AK7" s="83">
        <f>20000-160.53+145.53</f>
        <v>19985</v>
      </c>
      <c r="AL7" s="428">
        <v>110055</v>
      </c>
      <c r="AM7" s="441">
        <f>AK7-AL7</f>
        <v>-90070</v>
      </c>
      <c r="AN7" s="83">
        <f>20000-145.53</f>
        <v>19854.47</v>
      </c>
      <c r="AO7" s="466">
        <f>AI7+AL7+AN7</f>
        <v>198494.47</v>
      </c>
      <c r="AP7" s="341">
        <v>27880.53</v>
      </c>
      <c r="AQ7" s="364">
        <v>20623</v>
      </c>
      <c r="AR7" s="471">
        <v>5000</v>
      </c>
      <c r="AS7" s="463">
        <f aca="true" t="shared" si="2" ref="AS7:AS20">AQ7+AR7</f>
        <v>25623</v>
      </c>
      <c r="AT7" s="364">
        <v>20000.19</v>
      </c>
      <c r="AU7" s="471">
        <v>5000</v>
      </c>
      <c r="AV7" s="463">
        <f aca="true" t="shared" si="3" ref="AV7:AV20">AT7+AU7</f>
        <v>25000.19</v>
      </c>
      <c r="AW7" s="364">
        <v>0.0030900000165274832</v>
      </c>
      <c r="AX7" s="471">
        <f aca="true" t="shared" si="4" ref="AX7:AX20">AP7-AR7-AU7</f>
        <v>17880.53</v>
      </c>
      <c r="AY7" s="463">
        <f aca="true" t="shared" si="5" ref="AY7:AY20">AW7+AX7</f>
        <v>17880.533090000015</v>
      </c>
      <c r="AZ7" s="77">
        <f aca="true" t="shared" si="6" ref="AZ7:AZ20">AS7+AV7+AY7</f>
        <v>68503.72309000001</v>
      </c>
      <c r="BA7" s="416">
        <f t="shared" si="0"/>
        <v>823263.19309</v>
      </c>
      <c r="BB7" s="149">
        <f t="shared" si="1"/>
        <v>734905</v>
      </c>
      <c r="BC7" s="87"/>
    </row>
    <row r="8" spans="1:55" s="5" customFormat="1" ht="24" customHeight="1">
      <c r="A8" s="4">
        <v>4</v>
      </c>
      <c r="B8" s="476" t="s">
        <v>161</v>
      </c>
      <c r="C8" s="149"/>
      <c r="D8" s="33"/>
      <c r="E8" s="251"/>
      <c r="F8" s="204"/>
      <c r="G8" s="32"/>
      <c r="H8" s="33"/>
      <c r="I8" s="32"/>
      <c r="J8" s="181"/>
      <c r="K8" s="45"/>
      <c r="L8" s="204"/>
      <c r="M8" s="268"/>
      <c r="N8" s="33"/>
      <c r="O8" s="268"/>
      <c r="P8" s="298"/>
      <c r="Q8" s="45"/>
      <c r="R8" s="204"/>
      <c r="S8" s="77"/>
      <c r="T8" s="315"/>
      <c r="U8" s="337"/>
      <c r="V8" s="352"/>
      <c r="W8" s="265"/>
      <c r="X8" s="315"/>
      <c r="Y8" s="341"/>
      <c r="Z8" s="83"/>
      <c r="AA8" s="394"/>
      <c r="AB8" s="397"/>
      <c r="AC8" s="400"/>
      <c r="AD8" s="364"/>
      <c r="AE8" s="79"/>
      <c r="AF8" s="352"/>
      <c r="AG8" s="77"/>
      <c r="AH8" s="83"/>
      <c r="AI8" s="79"/>
      <c r="AJ8" s="418"/>
      <c r="AK8" s="83"/>
      <c r="AL8" s="428"/>
      <c r="AM8" s="441"/>
      <c r="AN8" s="83"/>
      <c r="AO8" s="466"/>
      <c r="AP8" s="341">
        <v>40544.33</v>
      </c>
      <c r="AQ8" s="364">
        <v>0</v>
      </c>
      <c r="AR8" s="471">
        <v>15000</v>
      </c>
      <c r="AS8" s="463">
        <f t="shared" si="2"/>
        <v>15000</v>
      </c>
      <c r="AT8" s="364">
        <v>0</v>
      </c>
      <c r="AU8" s="471">
        <v>15000</v>
      </c>
      <c r="AV8" s="463">
        <f t="shared" si="3"/>
        <v>15000</v>
      </c>
      <c r="AW8" s="364">
        <v>0</v>
      </c>
      <c r="AX8" s="471">
        <f t="shared" si="4"/>
        <v>10544.330000000002</v>
      </c>
      <c r="AY8" s="463">
        <f t="shared" si="5"/>
        <v>10544.330000000002</v>
      </c>
      <c r="AZ8" s="77">
        <f t="shared" si="6"/>
        <v>40544.33</v>
      </c>
      <c r="BA8" s="416">
        <f t="shared" si="0"/>
        <v>40544.33</v>
      </c>
      <c r="BB8" s="149">
        <f t="shared" si="1"/>
        <v>0</v>
      </c>
      <c r="BC8" s="87"/>
    </row>
    <row r="9" spans="1:55" s="5" customFormat="1" ht="24" customHeight="1">
      <c r="A9" s="4">
        <v>5</v>
      </c>
      <c r="B9" s="476" t="s">
        <v>162</v>
      </c>
      <c r="C9" s="149"/>
      <c r="D9" s="33"/>
      <c r="E9" s="251"/>
      <c r="F9" s="204"/>
      <c r="G9" s="32"/>
      <c r="H9" s="33"/>
      <c r="I9" s="32"/>
      <c r="J9" s="181"/>
      <c r="K9" s="45"/>
      <c r="L9" s="204"/>
      <c r="M9" s="268"/>
      <c r="N9" s="33"/>
      <c r="O9" s="268"/>
      <c r="P9" s="298"/>
      <c r="Q9" s="45"/>
      <c r="R9" s="204"/>
      <c r="S9" s="77"/>
      <c r="T9" s="315"/>
      <c r="U9" s="337"/>
      <c r="V9" s="352"/>
      <c r="W9" s="265"/>
      <c r="X9" s="315"/>
      <c r="Y9" s="341"/>
      <c r="Z9" s="83"/>
      <c r="AA9" s="394"/>
      <c r="AB9" s="397"/>
      <c r="AC9" s="400"/>
      <c r="AD9" s="364"/>
      <c r="AE9" s="79"/>
      <c r="AF9" s="352"/>
      <c r="AG9" s="77"/>
      <c r="AH9" s="83"/>
      <c r="AI9" s="79"/>
      <c r="AJ9" s="418"/>
      <c r="AK9" s="83"/>
      <c r="AL9" s="428"/>
      <c r="AM9" s="441"/>
      <c r="AN9" s="83"/>
      <c r="AO9" s="466"/>
      <c r="AP9" s="341">
        <v>16166.46</v>
      </c>
      <c r="AQ9" s="364">
        <v>0</v>
      </c>
      <c r="AR9" s="471">
        <v>6000</v>
      </c>
      <c r="AS9" s="463">
        <f t="shared" si="2"/>
        <v>6000</v>
      </c>
      <c r="AT9" s="364">
        <v>0</v>
      </c>
      <c r="AU9" s="471">
        <v>6000</v>
      </c>
      <c r="AV9" s="463">
        <f t="shared" si="3"/>
        <v>6000</v>
      </c>
      <c r="AW9" s="364">
        <v>0</v>
      </c>
      <c r="AX9" s="471">
        <f t="shared" si="4"/>
        <v>4166.459999999999</v>
      </c>
      <c r="AY9" s="463">
        <f t="shared" si="5"/>
        <v>4166.459999999999</v>
      </c>
      <c r="AZ9" s="77">
        <f t="shared" si="6"/>
        <v>16166.46</v>
      </c>
      <c r="BA9" s="416">
        <f t="shared" si="0"/>
        <v>16166.46</v>
      </c>
      <c r="BB9" s="149">
        <f t="shared" si="1"/>
        <v>0</v>
      </c>
      <c r="BC9" s="87"/>
    </row>
    <row r="10" spans="1:55" s="5" customFormat="1" ht="26.25" customHeight="1">
      <c r="A10" s="4">
        <v>6</v>
      </c>
      <c r="B10" s="124" t="s">
        <v>7</v>
      </c>
      <c r="C10" s="149">
        <v>158383</v>
      </c>
      <c r="D10" s="33">
        <f>12001.81+1135.19</f>
        <v>13137</v>
      </c>
      <c r="E10" s="251">
        <v>13137</v>
      </c>
      <c r="F10" s="32">
        <f>D10-E10</f>
        <v>0</v>
      </c>
      <c r="G10" s="32">
        <f>(C10+E10)/13</f>
        <v>13193.846153846154</v>
      </c>
      <c r="H10" s="33">
        <f>11966.32-1135.19</f>
        <v>10831.13</v>
      </c>
      <c r="I10" s="32">
        <f>G10*H23/100</f>
        <v>404.09486364988953</v>
      </c>
      <c r="J10" s="181">
        <f>H10+I10+1121.78</f>
        <v>12357.004863649889</v>
      </c>
      <c r="K10" s="45">
        <v>12357</v>
      </c>
      <c r="L10" s="32">
        <f>J10-K10</f>
        <v>0.0048636498886480695</v>
      </c>
      <c r="M10" s="268">
        <f>(C10+E10+K10)/14</f>
        <v>13134.07142857143</v>
      </c>
      <c r="N10" s="33">
        <f>11966.32-1121.78</f>
        <v>10844.539999999999</v>
      </c>
      <c r="O10" s="268">
        <f>M10*M23/100</f>
        <v>238.97182756254446</v>
      </c>
      <c r="P10" s="298">
        <f>N10+O10</f>
        <v>11083.511827562543</v>
      </c>
      <c r="Q10" s="45">
        <v>11083</v>
      </c>
      <c r="R10" s="32">
        <f>P10-Q10</f>
        <v>0.5118275625427486</v>
      </c>
      <c r="S10" s="77">
        <f>E10+K10+Q10</f>
        <v>36577</v>
      </c>
      <c r="T10" s="315">
        <f>12087.19+1111.81</f>
        <v>13199</v>
      </c>
      <c r="U10" s="337">
        <v>13199</v>
      </c>
      <c r="V10" s="315">
        <f>T10-U10</f>
        <v>0</v>
      </c>
      <c r="W10" s="265">
        <f>(C10+S10+U10)/16</f>
        <v>13009.9375</v>
      </c>
      <c r="X10" s="315">
        <f>W10*X25/100</f>
        <v>1797.1807805540595</v>
      </c>
      <c r="Y10" s="341">
        <v>77123.49</v>
      </c>
      <c r="Z10" s="83">
        <f>12000-1111.81</f>
        <v>10888.19</v>
      </c>
      <c r="AA10" s="394">
        <f>X10+Z10+1265.63</f>
        <v>13951.000780554059</v>
      </c>
      <c r="AB10" s="397">
        <v>13951</v>
      </c>
      <c r="AC10" s="395">
        <f>AA10-AB10</f>
        <v>0.0007805540590197779</v>
      </c>
      <c r="AD10" s="364">
        <f>12000-1265.63+9.63</f>
        <v>10743.999999999998</v>
      </c>
      <c r="AE10" s="79">
        <v>10954</v>
      </c>
      <c r="AF10" s="410">
        <f>AD10-AE10</f>
        <v>-210.00000000000182</v>
      </c>
      <c r="AG10" s="77">
        <f>U10+AB10+AE10</f>
        <v>38104</v>
      </c>
      <c r="AH10" s="83">
        <f>12000-9.63+1174.63</f>
        <v>13165</v>
      </c>
      <c r="AI10" s="79">
        <v>13165</v>
      </c>
      <c r="AJ10" s="83">
        <f>AH10-AI10</f>
        <v>0</v>
      </c>
      <c r="AK10" s="83">
        <f>12000-1174.63+1086.63</f>
        <v>11912</v>
      </c>
      <c r="AL10" s="428">
        <v>11912</v>
      </c>
      <c r="AM10" s="425">
        <f>AK10-AL10</f>
        <v>0</v>
      </c>
      <c r="AN10" s="83">
        <f>12000-1086.63</f>
        <v>10913.369999999999</v>
      </c>
      <c r="AO10" s="466">
        <f>AI10+AL10+AN10</f>
        <v>35990.369999999995</v>
      </c>
      <c r="AP10" s="341">
        <v>14162.82</v>
      </c>
      <c r="AQ10" s="364">
        <v>12000</v>
      </c>
      <c r="AR10" s="471">
        <v>0</v>
      </c>
      <c r="AS10" s="463">
        <f t="shared" si="2"/>
        <v>12000</v>
      </c>
      <c r="AT10" s="364">
        <v>5123.493752520008</v>
      </c>
      <c r="AU10" s="471">
        <v>6877</v>
      </c>
      <c r="AV10" s="463">
        <f t="shared" si="3"/>
        <v>12000.493752520008</v>
      </c>
      <c r="AW10" s="364">
        <v>0</v>
      </c>
      <c r="AX10" s="471">
        <f t="shared" si="4"/>
        <v>7285.82</v>
      </c>
      <c r="AY10" s="463">
        <f t="shared" si="5"/>
        <v>7285.82</v>
      </c>
      <c r="AZ10" s="77">
        <f t="shared" si="6"/>
        <v>31286.313752520007</v>
      </c>
      <c r="BA10" s="416">
        <f t="shared" si="0"/>
        <v>141957.68375252</v>
      </c>
      <c r="BB10" s="149">
        <f t="shared" si="1"/>
        <v>99758</v>
      </c>
      <c r="BC10" s="87"/>
    </row>
    <row r="11" spans="1:55" s="5" customFormat="1" ht="26.25" customHeight="1">
      <c r="A11" s="4">
        <v>7</v>
      </c>
      <c r="B11" s="124" t="s">
        <v>11</v>
      </c>
      <c r="C11" s="149">
        <v>95375</v>
      </c>
      <c r="D11" s="33">
        <f>6662.76+652.24</f>
        <v>7315</v>
      </c>
      <c r="E11" s="251">
        <v>7725</v>
      </c>
      <c r="F11" s="204">
        <f>D11-E11</f>
        <v>-410</v>
      </c>
      <c r="G11" s="32">
        <f>(C11+E11)/13</f>
        <v>7930.7692307692305</v>
      </c>
      <c r="H11" s="33">
        <f>7170.08-652.24</f>
        <v>6517.84</v>
      </c>
      <c r="I11" s="32">
        <f>G11*H23/100</f>
        <v>242.8998393324604</v>
      </c>
      <c r="J11" s="181">
        <f>H11+I11+669.26</f>
        <v>7429.99983933246</v>
      </c>
      <c r="K11" s="45">
        <v>7745</v>
      </c>
      <c r="L11" s="204">
        <f>J11-K11</f>
        <v>-315.0001606675396</v>
      </c>
      <c r="M11" s="268">
        <f>(C11+E11+K11)/14</f>
        <v>7917.5</v>
      </c>
      <c r="N11" s="33">
        <f>7170.08-669.26</f>
        <v>6500.82</v>
      </c>
      <c r="O11" s="268">
        <f>M11*M23/100</f>
        <v>144.05734391016952</v>
      </c>
      <c r="P11" s="298">
        <f>N11+O11</f>
        <v>6644.87734391017</v>
      </c>
      <c r="Q11" s="45">
        <v>6850</v>
      </c>
      <c r="R11" s="204">
        <f>P11-Q11</f>
        <v>-205.12265608983034</v>
      </c>
      <c r="S11" s="77">
        <f>E11+K11+Q11</f>
        <v>22320</v>
      </c>
      <c r="T11" s="315">
        <f>7242.51+722.49</f>
        <v>7965</v>
      </c>
      <c r="U11" s="337">
        <v>7965</v>
      </c>
      <c r="V11" s="315">
        <f>T11-U11</f>
        <v>0</v>
      </c>
      <c r="W11" s="265">
        <f>(C11+S11+U11)/16</f>
        <v>7853.75</v>
      </c>
      <c r="X11" s="315">
        <f>W11*X25/100</f>
        <v>1084.9097895571324</v>
      </c>
      <c r="Y11" s="341">
        <v>46932.6</v>
      </c>
      <c r="Z11" s="83">
        <f>7000-722.49</f>
        <v>6277.51</v>
      </c>
      <c r="AA11" s="394">
        <f>X11+Z11</f>
        <v>7362.419789557132</v>
      </c>
      <c r="AB11" s="397">
        <v>7560</v>
      </c>
      <c r="AC11" s="400">
        <f>AA11-AB11</f>
        <v>-197.5802104428676</v>
      </c>
      <c r="AD11" s="364">
        <v>7000</v>
      </c>
      <c r="AE11" s="79">
        <v>7175</v>
      </c>
      <c r="AF11" s="352">
        <f>AD11-AE11</f>
        <v>-175</v>
      </c>
      <c r="AG11" s="77">
        <f>U11+AB11+AE11</f>
        <v>22700</v>
      </c>
      <c r="AH11" s="83">
        <v>7000</v>
      </c>
      <c r="AI11" s="79">
        <v>8200</v>
      </c>
      <c r="AJ11" s="418">
        <f>AH11-AI11</f>
        <v>-1200</v>
      </c>
      <c r="AK11" s="83">
        <v>7000</v>
      </c>
      <c r="AL11" s="428">
        <v>7390</v>
      </c>
      <c r="AM11" s="441">
        <f>AK11-AL11</f>
        <v>-390</v>
      </c>
      <c r="AN11" s="83">
        <v>7000</v>
      </c>
      <c r="AO11" s="466">
        <f>AI11+AL11+AN11</f>
        <v>22590</v>
      </c>
      <c r="AP11" s="341">
        <v>8618.62</v>
      </c>
      <c r="AQ11" s="364">
        <v>7000</v>
      </c>
      <c r="AR11" s="471">
        <v>0</v>
      </c>
      <c r="AS11" s="463">
        <f t="shared" si="2"/>
        <v>7000</v>
      </c>
      <c r="AT11" s="364">
        <v>4932.596685000004</v>
      </c>
      <c r="AU11" s="471">
        <v>4068</v>
      </c>
      <c r="AV11" s="463">
        <f t="shared" si="3"/>
        <v>9000.596685000004</v>
      </c>
      <c r="AW11" s="364">
        <v>0</v>
      </c>
      <c r="AX11" s="471">
        <f t="shared" si="4"/>
        <v>4550.620000000001</v>
      </c>
      <c r="AY11" s="463">
        <f t="shared" si="5"/>
        <v>4550.620000000001</v>
      </c>
      <c r="AZ11" s="77">
        <f t="shared" si="6"/>
        <v>20551.216685000007</v>
      </c>
      <c r="BA11" s="416">
        <f t="shared" si="0"/>
        <v>88161.216685</v>
      </c>
      <c r="BB11" s="149">
        <f t="shared" si="1"/>
        <v>60610</v>
      </c>
      <c r="BC11" s="87"/>
    </row>
    <row r="12" spans="1:55" s="5" customFormat="1" ht="20.25" customHeight="1">
      <c r="A12" s="4">
        <v>8</v>
      </c>
      <c r="B12" s="125" t="s">
        <v>1</v>
      </c>
      <c r="C12" s="47">
        <v>3105146</v>
      </c>
      <c r="D12" s="47">
        <f>SUM(D5:D11)</f>
        <v>185273.01</v>
      </c>
      <c r="E12" s="47">
        <f>SUM(E5:E11)</f>
        <v>243687</v>
      </c>
      <c r="F12" s="47">
        <f>F5+F10</f>
        <v>4125.550000000003</v>
      </c>
      <c r="G12" s="47">
        <f>SUM(G5:G11)</f>
        <v>173459</v>
      </c>
      <c r="H12" s="47">
        <f>SUM(H5:H11)</f>
        <v>181276.47</v>
      </c>
      <c r="I12" s="47">
        <f>SUM(I5:I11)</f>
        <v>5312.620000000002</v>
      </c>
      <c r="J12" s="47">
        <f>SUM(J5:J11)</f>
        <v>188535.34</v>
      </c>
      <c r="K12" s="47">
        <f>SUM(K5:K11)</f>
        <v>234311</v>
      </c>
      <c r="L12" s="47">
        <f>L5+L10</f>
        <v>10.36486364988923</v>
      </c>
      <c r="M12" s="47">
        <f>SUM(M5:M11)</f>
        <v>170588</v>
      </c>
      <c r="N12" s="47">
        <f>SUM(N5:N11)</f>
        <v>181350.30000000002</v>
      </c>
      <c r="O12" s="47">
        <f>SUM(O5:O11)</f>
        <v>3103.8148636498895</v>
      </c>
      <c r="P12" s="47">
        <f>SUM(P5:P11)</f>
        <v>184483.17486364988</v>
      </c>
      <c r="Q12" s="47">
        <f>SUM(Q5:Q11)</f>
        <v>354154</v>
      </c>
      <c r="R12" s="47">
        <f>R5+R10</f>
        <v>5.871827562543331</v>
      </c>
      <c r="S12" s="47">
        <f>SUM(S5:S11)</f>
        <v>832152</v>
      </c>
      <c r="T12" s="335">
        <f>SUM(T5:T11)</f>
        <v>187096.62</v>
      </c>
      <c r="U12" s="335">
        <f>SUM(U5:U11)</f>
        <v>180368</v>
      </c>
      <c r="V12" s="335">
        <f>V5+V6</f>
        <v>13328.620000000003</v>
      </c>
      <c r="W12" s="347">
        <f aca="true" t="shared" si="7" ref="W12:AB12">SUM(W5:W11)</f>
        <v>119625.25</v>
      </c>
      <c r="X12" s="347">
        <f t="shared" si="7"/>
        <v>16524.921827562546</v>
      </c>
      <c r="Y12" s="347">
        <f t="shared" si="7"/>
        <v>1148042.8</v>
      </c>
      <c r="Z12" s="347">
        <f t="shared" si="7"/>
        <v>176022.34000000003</v>
      </c>
      <c r="AA12" s="347">
        <f t="shared" si="7"/>
        <v>204042.42182756256</v>
      </c>
      <c r="AB12" s="347">
        <f t="shared" si="7"/>
        <v>288551</v>
      </c>
      <c r="AC12" s="347">
        <f>AC5</f>
        <v>1</v>
      </c>
      <c r="AD12" s="381">
        <f>SUM(AD5:AD11)</f>
        <v>179840</v>
      </c>
      <c r="AE12" s="369">
        <f>SUM(AE5:AE11)</f>
        <v>269469</v>
      </c>
      <c r="AF12" s="369">
        <f>AF5</f>
        <v>4</v>
      </c>
      <c r="AG12" s="347">
        <f>SUM(AG5:AG11)</f>
        <v>738388</v>
      </c>
      <c r="AH12" s="347">
        <f>SUM(AH5:AH11)</f>
        <v>166000</v>
      </c>
      <c r="AI12" s="347">
        <f>SUM(AI5:AI11)</f>
        <v>221570</v>
      </c>
      <c r="AJ12" s="347">
        <f>AJ5</f>
        <v>7</v>
      </c>
      <c r="AK12" s="347">
        <f>SUM(AK5:AK11)</f>
        <v>177897</v>
      </c>
      <c r="AL12" s="347">
        <f>SUM(AL5:AL11)</f>
        <v>276372</v>
      </c>
      <c r="AM12" s="347">
        <f>AM5+AM10</f>
        <v>0</v>
      </c>
      <c r="AN12" s="369">
        <f aca="true" t="shared" si="8" ref="AN12:BC12">SUM(AN5:AN11)</f>
        <v>176767.84</v>
      </c>
      <c r="AO12" s="381">
        <f t="shared" si="8"/>
        <v>674709.84</v>
      </c>
      <c r="AP12" s="369">
        <f t="shared" si="8"/>
        <v>272526.88999999996</v>
      </c>
      <c r="AQ12" s="381">
        <f t="shared" si="8"/>
        <v>178623</v>
      </c>
      <c r="AR12" s="472">
        <f t="shared" si="8"/>
        <v>37217</v>
      </c>
      <c r="AS12" s="472">
        <f t="shared" si="8"/>
        <v>215840</v>
      </c>
      <c r="AT12" s="472">
        <f t="shared" si="8"/>
        <v>79419.80275472003</v>
      </c>
      <c r="AU12" s="472">
        <f t="shared" si="8"/>
        <v>114092</v>
      </c>
      <c r="AV12" s="472">
        <f t="shared" si="8"/>
        <v>193511.80275472003</v>
      </c>
      <c r="AW12" s="472">
        <f t="shared" si="8"/>
        <v>0.0030900000165274832</v>
      </c>
      <c r="AX12" s="472">
        <f t="shared" si="8"/>
        <v>121217.89000000001</v>
      </c>
      <c r="AY12" s="472">
        <f t="shared" si="8"/>
        <v>121217.89309000003</v>
      </c>
      <c r="AZ12" s="472">
        <f t="shared" si="8"/>
        <v>530569.6958447201</v>
      </c>
      <c r="BA12" s="47">
        <f t="shared" si="8"/>
        <v>2775819.53584472</v>
      </c>
      <c r="BB12" s="47">
        <f t="shared" si="8"/>
        <v>2068482</v>
      </c>
      <c r="BC12" s="47">
        <f t="shared" si="8"/>
        <v>0</v>
      </c>
    </row>
    <row r="13" spans="1:55" s="5" customFormat="1" ht="22.5" customHeight="1">
      <c r="A13" s="4">
        <v>9</v>
      </c>
      <c r="B13" s="56" t="s">
        <v>21</v>
      </c>
      <c r="C13" s="149">
        <v>15360</v>
      </c>
      <c r="D13" s="24">
        <v>1272.07</v>
      </c>
      <c r="E13" s="101">
        <v>1260</v>
      </c>
      <c r="F13" s="32">
        <f aca="true" t="shared" si="9" ref="F13:F20">D13-E13</f>
        <v>12.069999999999936</v>
      </c>
      <c r="G13" s="32"/>
      <c r="H13" s="24">
        <v>1268.31</v>
      </c>
      <c r="I13" s="23"/>
      <c r="J13" s="181">
        <f aca="true" t="shared" si="10" ref="J13:J20">H13+I13</f>
        <v>1268.31</v>
      </c>
      <c r="K13" s="45">
        <v>1260</v>
      </c>
      <c r="L13" s="32">
        <f aca="true" t="shared" si="11" ref="L13:L20">J13-K13</f>
        <v>8.309999999999945</v>
      </c>
      <c r="M13" s="32"/>
      <c r="N13" s="33">
        <v>1268.31</v>
      </c>
      <c r="O13" s="32"/>
      <c r="P13" s="298">
        <f aca="true" t="shared" si="12" ref="P13:P20">N13+O13</f>
        <v>1268.31</v>
      </c>
      <c r="Q13" s="45">
        <v>1260</v>
      </c>
      <c r="R13" s="32">
        <f aca="true" t="shared" si="13" ref="R13:R20">P13-Q13</f>
        <v>8.309999999999945</v>
      </c>
      <c r="S13" s="77">
        <f aca="true" t="shared" si="14" ref="S13:S20">E13+K13+Q13</f>
        <v>3780</v>
      </c>
      <c r="T13" s="315">
        <v>1281.12</v>
      </c>
      <c r="U13" s="337">
        <v>1260</v>
      </c>
      <c r="V13" s="315">
        <f aca="true" t="shared" si="15" ref="V13:V20">T13-U13</f>
        <v>21.11999999999989</v>
      </c>
      <c r="W13" s="265">
        <v>0</v>
      </c>
      <c r="X13" s="315"/>
      <c r="Y13" s="341">
        <v>8301.85</v>
      </c>
      <c r="Z13" s="83">
        <v>960</v>
      </c>
      <c r="AA13" s="393">
        <f aca="true" t="shared" si="16" ref="AA13:AA20">X13+Z13</f>
        <v>960</v>
      </c>
      <c r="AB13" s="396">
        <v>960</v>
      </c>
      <c r="AC13" s="395">
        <f aca="true" t="shared" si="17" ref="AC13:AC20">AA13-AB13</f>
        <v>0</v>
      </c>
      <c r="AD13" s="364">
        <v>960</v>
      </c>
      <c r="AE13" s="79">
        <v>960</v>
      </c>
      <c r="AF13" s="364">
        <f aca="true" t="shared" si="18" ref="AF13:AF20">AD13-AE13</f>
        <v>0</v>
      </c>
      <c r="AG13" s="77">
        <f aca="true" t="shared" si="19" ref="AG13:AG20">U13+AB13+AE13</f>
        <v>3180</v>
      </c>
      <c r="AH13" s="83">
        <v>1200</v>
      </c>
      <c r="AI13" s="79">
        <v>1200</v>
      </c>
      <c r="AJ13" s="83">
        <f aca="true" t="shared" si="20" ref="AJ13:AJ20">AH13-AI13</f>
        <v>0</v>
      </c>
      <c r="AK13" s="83">
        <v>1200</v>
      </c>
      <c r="AL13" s="428">
        <v>1200</v>
      </c>
      <c r="AM13" s="425">
        <f aca="true" t="shared" si="21" ref="AM13:AM20">AK13-AL13</f>
        <v>0</v>
      </c>
      <c r="AN13" s="83">
        <v>1200</v>
      </c>
      <c r="AO13" s="466">
        <f aca="true" t="shared" si="22" ref="AO13:AO20">AI13+AL13+AN13</f>
        <v>3600</v>
      </c>
      <c r="AP13" s="341">
        <v>1524.54</v>
      </c>
      <c r="AQ13" s="364">
        <v>1200</v>
      </c>
      <c r="AR13" s="471">
        <v>300</v>
      </c>
      <c r="AS13" s="463">
        <f t="shared" si="2"/>
        <v>1500</v>
      </c>
      <c r="AT13" s="364">
        <v>1200</v>
      </c>
      <c r="AU13" s="471">
        <v>300</v>
      </c>
      <c r="AV13" s="463">
        <f t="shared" si="3"/>
        <v>1500</v>
      </c>
      <c r="AW13" s="364">
        <v>381.85488027999963</v>
      </c>
      <c r="AX13" s="471">
        <f t="shared" si="4"/>
        <v>924.54</v>
      </c>
      <c r="AY13" s="463">
        <f t="shared" si="5"/>
        <v>1306.3948802799996</v>
      </c>
      <c r="AZ13" s="77">
        <f t="shared" si="6"/>
        <v>4306.39488028</v>
      </c>
      <c r="BA13" s="416">
        <f aca="true" t="shared" si="23" ref="BA13:BA20">S13+AG13+AO13+AZ13</f>
        <v>14866.39488028</v>
      </c>
      <c r="BB13" s="149">
        <f aca="true" t="shared" si="24" ref="BB13:BB20">S13+AG13+AI13+AL13</f>
        <v>9360</v>
      </c>
      <c r="BC13" s="87"/>
    </row>
    <row r="14" spans="1:55" s="27" customFormat="1" ht="21" customHeight="1">
      <c r="A14" s="4">
        <v>10</v>
      </c>
      <c r="B14" s="56" t="s">
        <v>22</v>
      </c>
      <c r="C14" s="149">
        <v>8160</v>
      </c>
      <c r="D14" s="24">
        <v>723.31</v>
      </c>
      <c r="E14" s="101">
        <v>720</v>
      </c>
      <c r="F14" s="32">
        <f t="shared" si="9"/>
        <v>3.3099999999999454</v>
      </c>
      <c r="G14" s="32"/>
      <c r="H14" s="24">
        <v>721.18</v>
      </c>
      <c r="I14" s="23"/>
      <c r="J14" s="181">
        <f t="shared" si="10"/>
        <v>721.18</v>
      </c>
      <c r="K14" s="45">
        <v>720</v>
      </c>
      <c r="L14" s="32">
        <f t="shared" si="11"/>
        <v>1.17999999999995</v>
      </c>
      <c r="M14" s="32"/>
      <c r="N14" s="33">
        <v>721.18</v>
      </c>
      <c r="O14" s="32"/>
      <c r="P14" s="298">
        <f t="shared" si="12"/>
        <v>721.18</v>
      </c>
      <c r="Q14" s="45">
        <v>720</v>
      </c>
      <c r="R14" s="32">
        <f t="shared" si="13"/>
        <v>1.17999999999995</v>
      </c>
      <c r="S14" s="77">
        <f t="shared" si="14"/>
        <v>2160</v>
      </c>
      <c r="T14" s="315">
        <v>728.46</v>
      </c>
      <c r="U14" s="337">
        <v>480</v>
      </c>
      <c r="V14" s="315">
        <f t="shared" si="15"/>
        <v>248.46000000000004</v>
      </c>
      <c r="W14" s="265">
        <v>0</v>
      </c>
      <c r="X14" s="315"/>
      <c r="Y14" s="341">
        <v>4720.54</v>
      </c>
      <c r="Z14" s="83">
        <v>660</v>
      </c>
      <c r="AA14" s="393">
        <f t="shared" si="16"/>
        <v>660</v>
      </c>
      <c r="AB14" s="396">
        <v>660</v>
      </c>
      <c r="AC14" s="395">
        <f t="shared" si="17"/>
        <v>0</v>
      </c>
      <c r="AD14" s="364">
        <v>660</v>
      </c>
      <c r="AE14" s="79">
        <v>660</v>
      </c>
      <c r="AF14" s="364">
        <f t="shared" si="18"/>
        <v>0</v>
      </c>
      <c r="AG14" s="77">
        <f t="shared" si="19"/>
        <v>1800</v>
      </c>
      <c r="AH14" s="83">
        <v>660</v>
      </c>
      <c r="AI14" s="79">
        <v>420</v>
      </c>
      <c r="AJ14" s="83">
        <f t="shared" si="20"/>
        <v>240</v>
      </c>
      <c r="AK14" s="83">
        <v>660</v>
      </c>
      <c r="AL14" s="428">
        <v>660</v>
      </c>
      <c r="AM14" s="425">
        <f t="shared" si="21"/>
        <v>0</v>
      </c>
      <c r="AN14" s="83">
        <v>660</v>
      </c>
      <c r="AO14" s="466">
        <f t="shared" si="22"/>
        <v>1740</v>
      </c>
      <c r="AP14" s="341">
        <v>866.87</v>
      </c>
      <c r="AQ14" s="364">
        <v>660</v>
      </c>
      <c r="AR14" s="471">
        <v>240</v>
      </c>
      <c r="AS14" s="463">
        <f t="shared" si="2"/>
        <v>900</v>
      </c>
      <c r="AT14" s="364">
        <v>660</v>
      </c>
      <c r="AU14" s="471">
        <v>240</v>
      </c>
      <c r="AV14" s="463">
        <f t="shared" si="3"/>
        <v>900</v>
      </c>
      <c r="AW14" s="364">
        <v>100.53673324000101</v>
      </c>
      <c r="AX14" s="471">
        <f t="shared" si="4"/>
        <v>386.87</v>
      </c>
      <c r="AY14" s="463">
        <f t="shared" si="5"/>
        <v>487.406733240001</v>
      </c>
      <c r="AZ14" s="77">
        <f t="shared" si="6"/>
        <v>2287.406733240001</v>
      </c>
      <c r="BA14" s="416">
        <f t="shared" si="23"/>
        <v>7987.406733240001</v>
      </c>
      <c r="BB14" s="149">
        <f t="shared" si="24"/>
        <v>5040</v>
      </c>
      <c r="BC14" s="87"/>
    </row>
    <row r="15" spans="1:55" s="27" customFormat="1" ht="22.5" customHeight="1">
      <c r="A15" s="4">
        <v>11</v>
      </c>
      <c r="B15" s="56" t="s">
        <v>17</v>
      </c>
      <c r="C15" s="149">
        <v>10140</v>
      </c>
      <c r="D15" s="24">
        <v>897.38</v>
      </c>
      <c r="E15" s="101">
        <v>840</v>
      </c>
      <c r="F15" s="32">
        <f t="shared" si="9"/>
        <v>57.379999999999995</v>
      </c>
      <c r="G15" s="32"/>
      <c r="H15" s="24">
        <v>894.73</v>
      </c>
      <c r="I15" s="23"/>
      <c r="J15" s="181">
        <f t="shared" si="10"/>
        <v>894.73</v>
      </c>
      <c r="K15" s="45">
        <v>840</v>
      </c>
      <c r="L15" s="32">
        <f t="shared" si="11"/>
        <v>54.73000000000002</v>
      </c>
      <c r="M15" s="32"/>
      <c r="N15" s="33">
        <v>894.73</v>
      </c>
      <c r="O15" s="32"/>
      <c r="P15" s="298">
        <f t="shared" si="12"/>
        <v>894.73</v>
      </c>
      <c r="Q15" s="45">
        <v>840</v>
      </c>
      <c r="R15" s="32">
        <f t="shared" si="13"/>
        <v>54.73000000000002</v>
      </c>
      <c r="S15" s="77">
        <f t="shared" si="14"/>
        <v>2520</v>
      </c>
      <c r="T15" s="315">
        <v>903.77</v>
      </c>
      <c r="U15" s="337">
        <v>900</v>
      </c>
      <c r="V15" s="315">
        <f t="shared" si="15"/>
        <v>3.769999999999982</v>
      </c>
      <c r="W15" s="265">
        <v>0</v>
      </c>
      <c r="X15" s="315"/>
      <c r="Y15" s="341">
        <v>5856.55</v>
      </c>
      <c r="Z15" s="83">
        <v>780</v>
      </c>
      <c r="AA15" s="393">
        <f t="shared" si="16"/>
        <v>780</v>
      </c>
      <c r="AB15" s="396">
        <v>780</v>
      </c>
      <c r="AC15" s="395">
        <f t="shared" si="17"/>
        <v>0</v>
      </c>
      <c r="AD15" s="364">
        <v>780</v>
      </c>
      <c r="AE15" s="79">
        <v>780</v>
      </c>
      <c r="AF15" s="364">
        <f t="shared" si="18"/>
        <v>0</v>
      </c>
      <c r="AG15" s="77">
        <f t="shared" si="19"/>
        <v>2460</v>
      </c>
      <c r="AH15" s="83">
        <v>780</v>
      </c>
      <c r="AI15" s="79">
        <v>780</v>
      </c>
      <c r="AJ15" s="83">
        <f t="shared" si="20"/>
        <v>0</v>
      </c>
      <c r="AK15" s="83">
        <v>780</v>
      </c>
      <c r="AL15" s="428">
        <v>720</v>
      </c>
      <c r="AM15" s="425">
        <f t="shared" si="21"/>
        <v>60</v>
      </c>
      <c r="AN15" s="83">
        <v>780</v>
      </c>
      <c r="AO15" s="466">
        <f t="shared" si="22"/>
        <v>2280</v>
      </c>
      <c r="AP15" s="341">
        <v>1075.49</v>
      </c>
      <c r="AQ15" s="364">
        <v>780</v>
      </c>
      <c r="AR15" s="471">
        <v>420</v>
      </c>
      <c r="AS15" s="463">
        <f t="shared" si="2"/>
        <v>1200</v>
      </c>
      <c r="AT15" s="364">
        <v>780</v>
      </c>
      <c r="AU15" s="471">
        <v>420</v>
      </c>
      <c r="AV15" s="463">
        <f t="shared" si="3"/>
        <v>1200</v>
      </c>
      <c r="AW15" s="364">
        <v>396.54625300000043</v>
      </c>
      <c r="AX15" s="471">
        <f t="shared" si="4"/>
        <v>235.49</v>
      </c>
      <c r="AY15" s="463">
        <f t="shared" si="5"/>
        <v>632.0362530000004</v>
      </c>
      <c r="AZ15" s="77">
        <f t="shared" si="6"/>
        <v>3032.036253</v>
      </c>
      <c r="BA15" s="416">
        <f t="shared" si="23"/>
        <v>10292.036253</v>
      </c>
      <c r="BB15" s="149">
        <f t="shared" si="24"/>
        <v>6480</v>
      </c>
      <c r="BC15" s="87"/>
    </row>
    <row r="16" spans="1:55" s="27" customFormat="1" ht="22.5" customHeight="1">
      <c r="A16" s="4">
        <v>12</v>
      </c>
      <c r="B16" s="56" t="s">
        <v>20</v>
      </c>
      <c r="C16" s="149">
        <v>8220</v>
      </c>
      <c r="D16" s="24">
        <v>730.2</v>
      </c>
      <c r="E16" s="101">
        <v>660</v>
      </c>
      <c r="F16" s="32">
        <f t="shared" si="9"/>
        <v>70.20000000000005</v>
      </c>
      <c r="G16" s="32"/>
      <c r="H16" s="24">
        <v>728.04</v>
      </c>
      <c r="I16" s="23"/>
      <c r="J16" s="181">
        <f t="shared" si="10"/>
        <v>728.04</v>
      </c>
      <c r="K16" s="45">
        <v>720</v>
      </c>
      <c r="L16" s="32">
        <f t="shared" si="11"/>
        <v>8.039999999999964</v>
      </c>
      <c r="M16" s="32"/>
      <c r="N16" s="33">
        <v>728.04</v>
      </c>
      <c r="O16" s="32"/>
      <c r="P16" s="298">
        <f t="shared" si="12"/>
        <v>728.04</v>
      </c>
      <c r="Q16" s="45">
        <v>660</v>
      </c>
      <c r="R16" s="32">
        <f t="shared" si="13"/>
        <v>68.03999999999996</v>
      </c>
      <c r="S16" s="77">
        <f t="shared" si="14"/>
        <v>2040</v>
      </c>
      <c r="T16" s="315">
        <v>735.39</v>
      </c>
      <c r="U16" s="337">
        <v>180</v>
      </c>
      <c r="V16" s="315">
        <f t="shared" si="15"/>
        <v>555.39</v>
      </c>
      <c r="W16" s="265">
        <v>0</v>
      </c>
      <c r="X16" s="315"/>
      <c r="Y16" s="341">
        <v>4765.46</v>
      </c>
      <c r="Z16" s="83">
        <v>660</v>
      </c>
      <c r="AA16" s="393">
        <f t="shared" si="16"/>
        <v>660</v>
      </c>
      <c r="AB16" s="396">
        <v>660</v>
      </c>
      <c r="AC16" s="395">
        <f t="shared" si="17"/>
        <v>0</v>
      </c>
      <c r="AD16" s="364">
        <v>660</v>
      </c>
      <c r="AE16" s="79">
        <v>660</v>
      </c>
      <c r="AF16" s="364">
        <f t="shared" si="18"/>
        <v>0</v>
      </c>
      <c r="AG16" s="77">
        <f t="shared" si="19"/>
        <v>1500</v>
      </c>
      <c r="AH16" s="83">
        <v>660</v>
      </c>
      <c r="AI16" s="79">
        <v>660</v>
      </c>
      <c r="AJ16" s="83">
        <f t="shared" si="20"/>
        <v>0</v>
      </c>
      <c r="AK16" s="83">
        <v>660</v>
      </c>
      <c r="AL16" s="428">
        <v>660</v>
      </c>
      <c r="AM16" s="425">
        <f t="shared" si="21"/>
        <v>0</v>
      </c>
      <c r="AN16" s="83">
        <v>660</v>
      </c>
      <c r="AO16" s="466">
        <f t="shared" si="22"/>
        <v>1980</v>
      </c>
      <c r="AP16" s="341">
        <v>875.12</v>
      </c>
      <c r="AQ16" s="364">
        <v>660</v>
      </c>
      <c r="AR16" s="471">
        <v>240</v>
      </c>
      <c r="AS16" s="463">
        <f t="shared" si="2"/>
        <v>900</v>
      </c>
      <c r="AT16" s="364">
        <v>660</v>
      </c>
      <c r="AU16" s="471">
        <v>240</v>
      </c>
      <c r="AV16" s="463">
        <f t="shared" si="3"/>
        <v>900</v>
      </c>
      <c r="AW16" s="364">
        <v>145.46366339999986</v>
      </c>
      <c r="AX16" s="471">
        <f t="shared" si="4"/>
        <v>395.12</v>
      </c>
      <c r="AY16" s="463">
        <f t="shared" si="5"/>
        <v>540.5836633999999</v>
      </c>
      <c r="AZ16" s="77">
        <f t="shared" si="6"/>
        <v>2340.5836633999998</v>
      </c>
      <c r="BA16" s="416">
        <f t="shared" si="23"/>
        <v>7860.5836634</v>
      </c>
      <c r="BB16" s="149">
        <f t="shared" si="24"/>
        <v>4860</v>
      </c>
      <c r="BC16" s="87"/>
    </row>
    <row r="17" spans="1:55" s="5" customFormat="1" ht="23.25" customHeight="1">
      <c r="A17" s="4">
        <v>13</v>
      </c>
      <c r="B17" s="56" t="s">
        <v>23</v>
      </c>
      <c r="C17" s="149">
        <v>32145</v>
      </c>
      <c r="D17" s="24">
        <v>2655.27</v>
      </c>
      <c r="E17" s="101">
        <v>2655</v>
      </c>
      <c r="F17" s="32">
        <f t="shared" si="9"/>
        <v>0.2699999999999818</v>
      </c>
      <c r="G17" s="32"/>
      <c r="H17" s="24">
        <v>2647.42</v>
      </c>
      <c r="I17" s="24"/>
      <c r="J17" s="181">
        <f t="shared" si="10"/>
        <v>2647.42</v>
      </c>
      <c r="K17" s="74">
        <v>2640</v>
      </c>
      <c r="L17" s="32">
        <f t="shared" si="11"/>
        <v>7.420000000000073</v>
      </c>
      <c r="M17" s="32"/>
      <c r="N17" s="33">
        <v>2647.42</v>
      </c>
      <c r="O17" s="32"/>
      <c r="P17" s="298">
        <f t="shared" si="12"/>
        <v>2647.42</v>
      </c>
      <c r="Q17" s="45">
        <v>2640</v>
      </c>
      <c r="R17" s="32">
        <f t="shared" si="13"/>
        <v>7.420000000000073</v>
      </c>
      <c r="S17" s="77">
        <f t="shared" si="14"/>
        <v>7935</v>
      </c>
      <c r="T17" s="315">
        <v>2674.16</v>
      </c>
      <c r="U17" s="337">
        <v>2670</v>
      </c>
      <c r="V17" s="315">
        <f t="shared" si="15"/>
        <v>4.1599999999998545</v>
      </c>
      <c r="W17" s="265">
        <v>0</v>
      </c>
      <c r="X17" s="315"/>
      <c r="Y17" s="341">
        <v>17328.96</v>
      </c>
      <c r="Z17" s="83">
        <v>2400</v>
      </c>
      <c r="AA17" s="393">
        <f t="shared" si="16"/>
        <v>2400</v>
      </c>
      <c r="AB17" s="396">
        <v>2400</v>
      </c>
      <c r="AC17" s="395">
        <f t="shared" si="17"/>
        <v>0</v>
      </c>
      <c r="AD17" s="364">
        <v>2400</v>
      </c>
      <c r="AE17" s="79">
        <v>2400</v>
      </c>
      <c r="AF17" s="364">
        <f t="shared" si="18"/>
        <v>0</v>
      </c>
      <c r="AG17" s="77">
        <f t="shared" si="19"/>
        <v>7470</v>
      </c>
      <c r="AH17" s="83">
        <v>2400</v>
      </c>
      <c r="AI17" s="79">
        <v>2400</v>
      </c>
      <c r="AJ17" s="83">
        <f t="shared" si="20"/>
        <v>0</v>
      </c>
      <c r="AK17" s="83">
        <v>2400</v>
      </c>
      <c r="AL17" s="428">
        <v>2400</v>
      </c>
      <c r="AM17" s="425">
        <f t="shared" si="21"/>
        <v>0</v>
      </c>
      <c r="AN17" s="83">
        <v>2400</v>
      </c>
      <c r="AO17" s="466">
        <f t="shared" si="22"/>
        <v>7200</v>
      </c>
      <c r="AP17" s="341">
        <v>3182.26</v>
      </c>
      <c r="AQ17" s="364">
        <v>2400</v>
      </c>
      <c r="AR17" s="471">
        <v>525</v>
      </c>
      <c r="AS17" s="463">
        <f t="shared" si="2"/>
        <v>2925</v>
      </c>
      <c r="AT17" s="364">
        <v>2400</v>
      </c>
      <c r="AU17" s="471">
        <v>525</v>
      </c>
      <c r="AV17" s="463">
        <f t="shared" si="3"/>
        <v>2925</v>
      </c>
      <c r="AW17" s="364">
        <v>528.9587760000031</v>
      </c>
      <c r="AX17" s="471">
        <f t="shared" si="4"/>
        <v>2132.26</v>
      </c>
      <c r="AY17" s="463">
        <f t="shared" si="5"/>
        <v>2661.2187760000033</v>
      </c>
      <c r="AZ17" s="77">
        <f t="shared" si="6"/>
        <v>8511.218776000003</v>
      </c>
      <c r="BA17" s="416">
        <f t="shared" si="23"/>
        <v>31116.218776</v>
      </c>
      <c r="BB17" s="149">
        <f t="shared" si="24"/>
        <v>20205</v>
      </c>
      <c r="BC17" s="87"/>
    </row>
    <row r="18" spans="1:55" s="27" customFormat="1" ht="22.5" customHeight="1">
      <c r="A18" s="4">
        <v>14</v>
      </c>
      <c r="B18" s="56" t="s">
        <v>14</v>
      </c>
      <c r="C18" s="149">
        <v>25740</v>
      </c>
      <c r="D18" s="24">
        <v>2311.07</v>
      </c>
      <c r="E18" s="101">
        <v>2280</v>
      </c>
      <c r="F18" s="32">
        <f t="shared" si="9"/>
        <v>31.070000000000164</v>
      </c>
      <c r="G18" s="32"/>
      <c r="H18" s="24">
        <v>2304.23</v>
      </c>
      <c r="I18" s="23"/>
      <c r="J18" s="181">
        <f t="shared" si="10"/>
        <v>2304.23</v>
      </c>
      <c r="K18" s="45">
        <v>0</v>
      </c>
      <c r="L18" s="32">
        <f t="shared" si="11"/>
        <v>2304.23</v>
      </c>
      <c r="M18" s="32"/>
      <c r="N18" s="33">
        <v>2304.23</v>
      </c>
      <c r="O18" s="32"/>
      <c r="P18" s="298">
        <f t="shared" si="12"/>
        <v>2304.23</v>
      </c>
      <c r="Q18" s="45">
        <v>2280</v>
      </c>
      <c r="R18" s="32">
        <f t="shared" si="13"/>
        <v>24.230000000000018</v>
      </c>
      <c r="S18" s="77">
        <f t="shared" si="14"/>
        <v>4560</v>
      </c>
      <c r="T18" s="315">
        <v>2327.51</v>
      </c>
      <c r="U18" s="337">
        <v>1940</v>
      </c>
      <c r="V18" s="315">
        <f t="shared" si="15"/>
        <v>387.5100000000002</v>
      </c>
      <c r="W18" s="265">
        <v>0</v>
      </c>
      <c r="X18" s="315"/>
      <c r="Y18" s="341">
        <v>15082.61</v>
      </c>
      <c r="Z18" s="83">
        <v>2220</v>
      </c>
      <c r="AA18" s="393">
        <f t="shared" si="16"/>
        <v>2220</v>
      </c>
      <c r="AB18" s="396">
        <v>2160</v>
      </c>
      <c r="AC18" s="395">
        <f t="shared" si="17"/>
        <v>60</v>
      </c>
      <c r="AD18" s="364">
        <v>2220</v>
      </c>
      <c r="AE18" s="79">
        <v>2180</v>
      </c>
      <c r="AF18" s="364">
        <f t="shared" si="18"/>
        <v>40</v>
      </c>
      <c r="AG18" s="77">
        <f t="shared" si="19"/>
        <v>6280</v>
      </c>
      <c r="AH18" s="83">
        <v>2220</v>
      </c>
      <c r="AI18" s="79">
        <v>2220</v>
      </c>
      <c r="AJ18" s="83">
        <f t="shared" si="20"/>
        <v>0</v>
      </c>
      <c r="AK18" s="83">
        <v>2220</v>
      </c>
      <c r="AL18" s="428">
        <v>2180</v>
      </c>
      <c r="AM18" s="425">
        <f t="shared" si="21"/>
        <v>40</v>
      </c>
      <c r="AN18" s="83">
        <v>2220</v>
      </c>
      <c r="AO18" s="466">
        <f t="shared" si="22"/>
        <v>6620</v>
      </c>
      <c r="AP18" s="341">
        <v>2769.74</v>
      </c>
      <c r="AQ18" s="364">
        <v>2220</v>
      </c>
      <c r="AR18" s="471">
        <v>380</v>
      </c>
      <c r="AS18" s="463">
        <f t="shared" si="2"/>
        <v>2600</v>
      </c>
      <c r="AT18" s="364">
        <v>1762.6122680000008</v>
      </c>
      <c r="AU18" s="471">
        <v>838</v>
      </c>
      <c r="AV18" s="463">
        <f t="shared" si="3"/>
        <v>2600.6122680000008</v>
      </c>
      <c r="AW18" s="364">
        <v>0</v>
      </c>
      <c r="AX18" s="471">
        <f t="shared" si="4"/>
        <v>1551.7399999999998</v>
      </c>
      <c r="AY18" s="463">
        <f t="shared" si="5"/>
        <v>1551.7399999999998</v>
      </c>
      <c r="AZ18" s="77">
        <f t="shared" si="6"/>
        <v>6752.352268000001</v>
      </c>
      <c r="BA18" s="416">
        <f t="shared" si="23"/>
        <v>24212.352268000002</v>
      </c>
      <c r="BB18" s="149">
        <f t="shared" si="24"/>
        <v>15240</v>
      </c>
      <c r="BC18" s="87"/>
    </row>
    <row r="19" spans="1:55" s="5" customFormat="1" ht="22.5" customHeight="1">
      <c r="A19" s="4">
        <v>15</v>
      </c>
      <c r="B19" s="56" t="s">
        <v>24</v>
      </c>
      <c r="C19" s="149">
        <v>6000</v>
      </c>
      <c r="D19" s="24">
        <v>1425.98</v>
      </c>
      <c r="E19" s="101">
        <v>420</v>
      </c>
      <c r="F19" s="32">
        <f t="shared" si="9"/>
        <v>1005.98</v>
      </c>
      <c r="G19" s="32"/>
      <c r="H19" s="24">
        <v>1421.76</v>
      </c>
      <c r="I19" s="23"/>
      <c r="J19" s="181">
        <f t="shared" si="10"/>
        <v>1421.76</v>
      </c>
      <c r="K19" s="45">
        <v>720</v>
      </c>
      <c r="L19" s="32">
        <f t="shared" si="11"/>
        <v>701.76</v>
      </c>
      <c r="M19" s="32"/>
      <c r="N19" s="33">
        <v>1421.76</v>
      </c>
      <c r="O19" s="32"/>
      <c r="P19" s="298">
        <f t="shared" si="12"/>
        <v>1421.76</v>
      </c>
      <c r="Q19" s="45">
        <v>630</v>
      </c>
      <c r="R19" s="32">
        <f t="shared" si="13"/>
        <v>791.76</v>
      </c>
      <c r="S19" s="77">
        <f t="shared" si="14"/>
        <v>1770</v>
      </c>
      <c r="T19" s="315">
        <v>1436.12</v>
      </c>
      <c r="U19" s="337">
        <v>450</v>
      </c>
      <c r="V19" s="315">
        <f t="shared" si="15"/>
        <v>986.1199999999999</v>
      </c>
      <c r="W19" s="265">
        <v>0</v>
      </c>
      <c r="X19" s="315"/>
      <c r="Y19" s="341">
        <v>9306.29</v>
      </c>
      <c r="Z19" s="83">
        <v>820</v>
      </c>
      <c r="AA19" s="393">
        <f t="shared" si="16"/>
        <v>820</v>
      </c>
      <c r="AB19" s="396">
        <v>540</v>
      </c>
      <c r="AC19" s="395">
        <f t="shared" si="17"/>
        <v>280</v>
      </c>
      <c r="AD19" s="364">
        <v>820</v>
      </c>
      <c r="AE19" s="79">
        <v>480</v>
      </c>
      <c r="AF19" s="364">
        <f t="shared" si="18"/>
        <v>340</v>
      </c>
      <c r="AG19" s="77">
        <f t="shared" si="19"/>
        <v>1470</v>
      </c>
      <c r="AH19" s="83">
        <v>1300</v>
      </c>
      <c r="AI19" s="79">
        <v>480</v>
      </c>
      <c r="AJ19" s="83">
        <f t="shared" si="20"/>
        <v>820</v>
      </c>
      <c r="AK19" s="83">
        <v>1300</v>
      </c>
      <c r="AL19" s="428">
        <v>630</v>
      </c>
      <c r="AM19" s="425">
        <f t="shared" si="21"/>
        <v>670</v>
      </c>
      <c r="AN19" s="83">
        <v>1300</v>
      </c>
      <c r="AO19" s="466">
        <f t="shared" si="22"/>
        <v>2410</v>
      </c>
      <c r="AP19" s="341">
        <v>1708.99</v>
      </c>
      <c r="AQ19" s="364">
        <v>1500</v>
      </c>
      <c r="AR19" s="471">
        <v>700</v>
      </c>
      <c r="AS19" s="463">
        <f t="shared" si="2"/>
        <v>2200</v>
      </c>
      <c r="AT19" s="364">
        <v>1500</v>
      </c>
      <c r="AU19" s="471">
        <v>700</v>
      </c>
      <c r="AV19" s="463">
        <f t="shared" si="3"/>
        <v>2200</v>
      </c>
      <c r="AW19" s="364">
        <v>766.2926760000009</v>
      </c>
      <c r="AX19" s="471">
        <f t="shared" si="4"/>
        <v>308.99</v>
      </c>
      <c r="AY19" s="463">
        <f t="shared" si="5"/>
        <v>1075.282676000001</v>
      </c>
      <c r="AZ19" s="77">
        <f t="shared" si="6"/>
        <v>5475.282676000001</v>
      </c>
      <c r="BA19" s="416">
        <f t="shared" si="23"/>
        <v>11125.282676</v>
      </c>
      <c r="BB19" s="149">
        <f t="shared" si="24"/>
        <v>4350</v>
      </c>
      <c r="BC19" s="87"/>
    </row>
    <row r="20" spans="1:55" s="5" customFormat="1" ht="22.5" customHeight="1" thickBot="1">
      <c r="A20" s="4">
        <v>16</v>
      </c>
      <c r="B20" s="56" t="s">
        <v>25</v>
      </c>
      <c r="C20" s="149">
        <v>77425</v>
      </c>
      <c r="D20" s="30">
        <v>4731.79</v>
      </c>
      <c r="E20" s="102">
        <v>4725</v>
      </c>
      <c r="F20" s="32">
        <f t="shared" si="9"/>
        <v>6.789999999999964</v>
      </c>
      <c r="G20" s="63"/>
      <c r="H20" s="30">
        <v>4717.78</v>
      </c>
      <c r="I20" s="54"/>
      <c r="J20" s="260">
        <f t="shared" si="10"/>
        <v>4717.78</v>
      </c>
      <c r="K20" s="46">
        <v>4710</v>
      </c>
      <c r="L20" s="32">
        <f t="shared" si="11"/>
        <v>7.779999999999745</v>
      </c>
      <c r="M20" s="63"/>
      <c r="N20" s="34">
        <v>4717.78</v>
      </c>
      <c r="O20" s="63"/>
      <c r="P20" s="298">
        <f t="shared" si="12"/>
        <v>4717.78</v>
      </c>
      <c r="Q20" s="46">
        <v>4695</v>
      </c>
      <c r="R20" s="32">
        <f t="shared" si="13"/>
        <v>22.779999999999745</v>
      </c>
      <c r="S20" s="77">
        <f t="shared" si="14"/>
        <v>14130</v>
      </c>
      <c r="T20" s="315">
        <v>4765.45</v>
      </c>
      <c r="U20" s="338">
        <v>4760</v>
      </c>
      <c r="V20" s="315">
        <f t="shared" si="15"/>
        <v>5.449999999999818</v>
      </c>
      <c r="W20" s="265">
        <v>0</v>
      </c>
      <c r="X20" s="380"/>
      <c r="Y20" s="342">
        <v>68994.94</v>
      </c>
      <c r="Z20" s="365">
        <v>9000</v>
      </c>
      <c r="AA20" s="393">
        <f t="shared" si="16"/>
        <v>9000</v>
      </c>
      <c r="AB20" s="396">
        <v>9000</v>
      </c>
      <c r="AC20" s="395">
        <f t="shared" si="17"/>
        <v>0</v>
      </c>
      <c r="AD20" s="364">
        <v>9000</v>
      </c>
      <c r="AE20" s="79">
        <v>8995</v>
      </c>
      <c r="AF20" s="364">
        <f t="shared" si="18"/>
        <v>5</v>
      </c>
      <c r="AG20" s="77">
        <f t="shared" si="19"/>
        <v>22755</v>
      </c>
      <c r="AH20" s="365">
        <v>9000</v>
      </c>
      <c r="AI20" s="417">
        <v>9000</v>
      </c>
      <c r="AJ20" s="83">
        <f t="shared" si="20"/>
        <v>0</v>
      </c>
      <c r="AK20" s="366">
        <v>9000</v>
      </c>
      <c r="AL20" s="430">
        <v>8980</v>
      </c>
      <c r="AM20" s="425">
        <f t="shared" si="21"/>
        <v>20</v>
      </c>
      <c r="AN20" s="83">
        <v>9000</v>
      </c>
      <c r="AO20" s="466">
        <f t="shared" si="22"/>
        <v>26980</v>
      </c>
      <c r="AP20" s="467">
        <v>12670.1</v>
      </c>
      <c r="AQ20" s="469">
        <v>9000</v>
      </c>
      <c r="AR20" s="473">
        <v>5000</v>
      </c>
      <c r="AS20" s="463">
        <f t="shared" si="2"/>
        <v>14000</v>
      </c>
      <c r="AT20" s="461">
        <v>9000</v>
      </c>
      <c r="AU20" s="473">
        <v>5000</v>
      </c>
      <c r="AV20" s="463">
        <f t="shared" si="3"/>
        <v>14000</v>
      </c>
      <c r="AW20" s="364">
        <v>5994.92846000001</v>
      </c>
      <c r="AX20" s="471">
        <f t="shared" si="4"/>
        <v>2670.1000000000004</v>
      </c>
      <c r="AY20" s="463">
        <f t="shared" si="5"/>
        <v>8665.02846000001</v>
      </c>
      <c r="AZ20" s="77">
        <f t="shared" si="6"/>
        <v>36665.02846000001</v>
      </c>
      <c r="BA20" s="416">
        <f t="shared" si="23"/>
        <v>100530.02846</v>
      </c>
      <c r="BB20" s="149">
        <f t="shared" si="24"/>
        <v>54865</v>
      </c>
      <c r="BC20" s="87"/>
    </row>
    <row r="21" spans="1:55" s="10" customFormat="1" ht="23.25" customHeight="1">
      <c r="A21" s="64"/>
      <c r="B21" s="126" t="s">
        <v>12</v>
      </c>
      <c r="C21" s="48">
        <v>185230</v>
      </c>
      <c r="D21" s="48">
        <f aca="true" t="shared" si="25" ref="D21:AI21">SUM(D13:D20)</f>
        <v>14747.07</v>
      </c>
      <c r="E21" s="48">
        <f t="shared" si="25"/>
        <v>13560</v>
      </c>
      <c r="F21" s="48">
        <f t="shared" si="25"/>
        <v>1187.0700000000002</v>
      </c>
      <c r="G21" s="48">
        <f t="shared" si="25"/>
        <v>0</v>
      </c>
      <c r="H21" s="48">
        <f t="shared" si="25"/>
        <v>14703.45</v>
      </c>
      <c r="I21" s="48">
        <f t="shared" si="25"/>
        <v>0</v>
      </c>
      <c r="J21" s="48">
        <f t="shared" si="25"/>
        <v>14703.45</v>
      </c>
      <c r="K21" s="48">
        <f t="shared" si="25"/>
        <v>11610</v>
      </c>
      <c r="L21" s="48">
        <f t="shared" si="25"/>
        <v>3093.45</v>
      </c>
      <c r="M21" s="48">
        <f t="shared" si="25"/>
        <v>0</v>
      </c>
      <c r="N21" s="48">
        <f t="shared" si="25"/>
        <v>14703.45</v>
      </c>
      <c r="O21" s="48">
        <f t="shared" si="25"/>
        <v>0</v>
      </c>
      <c r="P21" s="48">
        <f t="shared" si="25"/>
        <v>14703.45</v>
      </c>
      <c r="Q21" s="48">
        <f t="shared" si="25"/>
        <v>13725</v>
      </c>
      <c r="R21" s="48">
        <f t="shared" si="25"/>
        <v>978.4499999999997</v>
      </c>
      <c r="S21" s="48">
        <f t="shared" si="25"/>
        <v>38895</v>
      </c>
      <c r="T21" s="141">
        <f t="shared" si="25"/>
        <v>14851.98</v>
      </c>
      <c r="U21" s="141">
        <f t="shared" si="25"/>
        <v>12640</v>
      </c>
      <c r="V21" s="141">
        <f t="shared" si="25"/>
        <v>2211.9799999999996</v>
      </c>
      <c r="W21" s="348">
        <f t="shared" si="25"/>
        <v>0</v>
      </c>
      <c r="X21" s="348">
        <f t="shared" si="25"/>
        <v>0</v>
      </c>
      <c r="Y21" s="348">
        <f t="shared" si="25"/>
        <v>134357.2</v>
      </c>
      <c r="Z21" s="348">
        <f t="shared" si="25"/>
        <v>17500</v>
      </c>
      <c r="AA21" s="348">
        <f t="shared" si="25"/>
        <v>17500</v>
      </c>
      <c r="AB21" s="348">
        <f t="shared" si="25"/>
        <v>17160</v>
      </c>
      <c r="AC21" s="367">
        <f t="shared" si="25"/>
        <v>340</v>
      </c>
      <c r="AD21" s="382">
        <f t="shared" si="25"/>
        <v>17500</v>
      </c>
      <c r="AE21" s="367">
        <f t="shared" si="25"/>
        <v>17115</v>
      </c>
      <c r="AF21" s="382">
        <f t="shared" si="25"/>
        <v>385</v>
      </c>
      <c r="AG21" s="367">
        <f t="shared" si="25"/>
        <v>46915</v>
      </c>
      <c r="AH21" s="367">
        <f t="shared" si="25"/>
        <v>18220</v>
      </c>
      <c r="AI21" s="367">
        <f t="shared" si="25"/>
        <v>17160</v>
      </c>
      <c r="AJ21" s="367">
        <f aca="true" t="shared" si="26" ref="AJ21:BC21">SUM(AJ13:AJ20)</f>
        <v>1060</v>
      </c>
      <c r="AK21" s="348">
        <f t="shared" si="26"/>
        <v>18220</v>
      </c>
      <c r="AL21" s="348">
        <f t="shared" si="26"/>
        <v>17430</v>
      </c>
      <c r="AM21" s="348">
        <f t="shared" si="26"/>
        <v>790</v>
      </c>
      <c r="AN21" s="367">
        <f t="shared" si="26"/>
        <v>18220</v>
      </c>
      <c r="AO21" s="382">
        <f t="shared" si="26"/>
        <v>52810</v>
      </c>
      <c r="AP21" s="367">
        <f t="shared" si="26"/>
        <v>24673.11</v>
      </c>
      <c r="AQ21" s="382">
        <f t="shared" si="26"/>
        <v>18420</v>
      </c>
      <c r="AR21" s="367">
        <f t="shared" si="26"/>
        <v>7805</v>
      </c>
      <c r="AS21" s="367">
        <f t="shared" si="26"/>
        <v>26225</v>
      </c>
      <c r="AT21" s="382">
        <f t="shared" si="26"/>
        <v>17962.612268</v>
      </c>
      <c r="AU21" s="474">
        <f t="shared" si="26"/>
        <v>8263</v>
      </c>
      <c r="AV21" s="367">
        <f t="shared" si="26"/>
        <v>26225.612268</v>
      </c>
      <c r="AW21" s="382">
        <f t="shared" si="26"/>
        <v>8314.581441920014</v>
      </c>
      <c r="AX21" s="474">
        <f t="shared" si="26"/>
        <v>8605.11</v>
      </c>
      <c r="AY21" s="367">
        <f t="shared" si="26"/>
        <v>16919.691441920015</v>
      </c>
      <c r="AZ21" s="367">
        <f t="shared" si="26"/>
        <v>69370.30370992002</v>
      </c>
      <c r="BA21" s="48">
        <f t="shared" si="26"/>
        <v>207990.30370992003</v>
      </c>
      <c r="BB21" s="237">
        <f t="shared" si="26"/>
        <v>120400</v>
      </c>
      <c r="BC21" s="48">
        <f t="shared" si="26"/>
        <v>0</v>
      </c>
    </row>
    <row r="22" spans="1:55" s="10" customFormat="1" ht="20.25" customHeight="1" thickBot="1">
      <c r="A22" s="65"/>
      <c r="B22" s="127" t="s">
        <v>43</v>
      </c>
      <c r="C22" s="49">
        <v>3290376</v>
      </c>
      <c r="D22" s="49">
        <f aca="true" t="shared" si="27" ref="D22:AI22">D12+D21</f>
        <v>200020.08000000002</v>
      </c>
      <c r="E22" s="49">
        <f t="shared" si="27"/>
        <v>257247</v>
      </c>
      <c r="F22" s="151">
        <f t="shared" si="27"/>
        <v>5312.620000000003</v>
      </c>
      <c r="G22" s="49">
        <f t="shared" si="27"/>
        <v>173459</v>
      </c>
      <c r="H22" s="49">
        <f t="shared" si="27"/>
        <v>195979.92</v>
      </c>
      <c r="I22" s="151">
        <f t="shared" si="27"/>
        <v>5312.620000000002</v>
      </c>
      <c r="J22" s="49">
        <f t="shared" si="27"/>
        <v>203238.79</v>
      </c>
      <c r="K22" s="49">
        <f t="shared" si="27"/>
        <v>245921</v>
      </c>
      <c r="L22" s="151">
        <f t="shared" si="27"/>
        <v>3103.814863649889</v>
      </c>
      <c r="M22" s="49">
        <f t="shared" si="27"/>
        <v>170588</v>
      </c>
      <c r="N22" s="49">
        <f t="shared" si="27"/>
        <v>196053.75000000003</v>
      </c>
      <c r="O22" s="151">
        <f t="shared" si="27"/>
        <v>3103.8148636498895</v>
      </c>
      <c r="P22" s="49">
        <f t="shared" si="27"/>
        <v>199186.6248636499</v>
      </c>
      <c r="Q22" s="49">
        <f t="shared" si="27"/>
        <v>367879</v>
      </c>
      <c r="R22" s="151">
        <f t="shared" si="27"/>
        <v>984.321827562543</v>
      </c>
      <c r="S22" s="49">
        <f t="shared" si="27"/>
        <v>871047</v>
      </c>
      <c r="T22" s="142">
        <f t="shared" si="27"/>
        <v>201948.6</v>
      </c>
      <c r="U22" s="142">
        <f t="shared" si="27"/>
        <v>193008</v>
      </c>
      <c r="V22" s="205">
        <f t="shared" si="27"/>
        <v>15540.600000000002</v>
      </c>
      <c r="W22" s="349">
        <f t="shared" si="27"/>
        <v>119625.25</v>
      </c>
      <c r="X22" s="388">
        <f t="shared" si="27"/>
        <v>16524.921827562546</v>
      </c>
      <c r="Y22" s="349">
        <f t="shared" si="27"/>
        <v>1282400</v>
      </c>
      <c r="Z22" s="349">
        <f t="shared" si="27"/>
        <v>193522.34000000003</v>
      </c>
      <c r="AA22" s="349">
        <f t="shared" si="27"/>
        <v>221542.42182756256</v>
      </c>
      <c r="AB22" s="349">
        <f t="shared" si="27"/>
        <v>305711</v>
      </c>
      <c r="AC22" s="151">
        <f t="shared" si="27"/>
        <v>341</v>
      </c>
      <c r="AD22" s="383">
        <f t="shared" si="27"/>
        <v>197340</v>
      </c>
      <c r="AE22" s="368">
        <f t="shared" si="27"/>
        <v>286584</v>
      </c>
      <c r="AF22" s="411">
        <f t="shared" si="27"/>
        <v>389</v>
      </c>
      <c r="AG22" s="368">
        <f t="shared" si="27"/>
        <v>785303</v>
      </c>
      <c r="AH22" s="368">
        <f t="shared" si="27"/>
        <v>184220</v>
      </c>
      <c r="AI22" s="368">
        <f t="shared" si="27"/>
        <v>238730</v>
      </c>
      <c r="AJ22" s="419">
        <f aca="true" t="shared" si="28" ref="AJ22:BC22">AJ12+AJ21</f>
        <v>1067</v>
      </c>
      <c r="AK22" s="349">
        <f t="shared" si="28"/>
        <v>196117</v>
      </c>
      <c r="AL22" s="349">
        <f t="shared" si="28"/>
        <v>293802</v>
      </c>
      <c r="AM22" s="442">
        <f t="shared" si="28"/>
        <v>790</v>
      </c>
      <c r="AN22" s="368">
        <f t="shared" si="28"/>
        <v>194987.84</v>
      </c>
      <c r="AO22" s="383">
        <f t="shared" si="28"/>
        <v>727519.84</v>
      </c>
      <c r="AP22" s="368">
        <f t="shared" si="28"/>
        <v>297199.99999999994</v>
      </c>
      <c r="AQ22" s="383">
        <f t="shared" si="28"/>
        <v>197043</v>
      </c>
      <c r="AR22" s="368">
        <f t="shared" si="28"/>
        <v>45022</v>
      </c>
      <c r="AS22" s="368">
        <f t="shared" si="28"/>
        <v>242065</v>
      </c>
      <c r="AT22" s="383">
        <f t="shared" si="28"/>
        <v>97382.41502272003</v>
      </c>
      <c r="AU22" s="475">
        <f t="shared" si="28"/>
        <v>122355</v>
      </c>
      <c r="AV22" s="368">
        <f t="shared" si="28"/>
        <v>219737.41502272003</v>
      </c>
      <c r="AW22" s="383">
        <f t="shared" si="28"/>
        <v>8314.58453192003</v>
      </c>
      <c r="AX22" s="475">
        <f t="shared" si="28"/>
        <v>129823.00000000001</v>
      </c>
      <c r="AY22" s="368">
        <f t="shared" si="28"/>
        <v>138137.58453192003</v>
      </c>
      <c r="AZ22" s="368">
        <f t="shared" si="28"/>
        <v>599939.9995546401</v>
      </c>
      <c r="BA22" s="49">
        <f t="shared" si="28"/>
        <v>2983809.83955464</v>
      </c>
      <c r="BB22" s="143">
        <f t="shared" si="28"/>
        <v>2188882</v>
      </c>
      <c r="BC22" s="49">
        <f t="shared" si="28"/>
        <v>0</v>
      </c>
    </row>
    <row r="23" spans="1:103" s="76" customFormat="1" ht="34.5" customHeight="1" thickBot="1">
      <c r="A23" s="16"/>
      <c r="B23" s="17"/>
      <c r="C23" s="179" t="s">
        <v>39</v>
      </c>
      <c r="D23" s="178"/>
      <c r="E23" s="197">
        <f>-(F6+F7+F11)</f>
        <v>62539.54</v>
      </c>
      <c r="F23" s="135"/>
      <c r="G23" s="131" t="s">
        <v>34</v>
      </c>
      <c r="H23" s="136">
        <f>F22*100/G22</f>
        <v>3.0627525813016345</v>
      </c>
      <c r="I23" s="22"/>
      <c r="J23" s="273" t="s">
        <v>73</v>
      </c>
      <c r="K23" s="274">
        <f>-(L6+L7+L11)</f>
        <v>45786.02486364989</v>
      </c>
      <c r="L23" s="131" t="s">
        <v>34</v>
      </c>
      <c r="M23" s="297">
        <f>L22*100/M22</f>
        <v>1.8194801883191603</v>
      </c>
      <c r="N23" s="257"/>
      <c r="O23" s="257"/>
      <c r="P23" s="257"/>
      <c r="Q23" s="258"/>
      <c r="R23" s="259">
        <f>16871.57+152600+205.12</f>
        <v>169676.69</v>
      </c>
      <c r="S23" s="324" t="s">
        <v>90</v>
      </c>
      <c r="T23" s="323">
        <f>R22</f>
        <v>984.321827562543</v>
      </c>
      <c r="U23" s="273" t="s">
        <v>73</v>
      </c>
      <c r="V23" s="351">
        <f>-(V7)</f>
        <v>6600</v>
      </c>
      <c r="W23" s="356"/>
      <c r="X23" s="356"/>
      <c r="Y23" s="323"/>
      <c r="Z23" s="144"/>
      <c r="AA23" s="273" t="s">
        <v>73</v>
      </c>
      <c r="AB23" s="245">
        <f>-(AC6+AC7+AC11)</f>
        <v>84509.57895299152</v>
      </c>
      <c r="AC23" s="144"/>
      <c r="AD23" s="273" t="s">
        <v>73</v>
      </c>
      <c r="AE23" s="245">
        <f>-(AF6+AF7+AF11)</f>
        <v>89423</v>
      </c>
      <c r="AF23" s="144"/>
      <c r="AG23" s="144"/>
      <c r="AH23" s="144"/>
      <c r="AI23" s="273" t="s">
        <v>73</v>
      </c>
      <c r="AJ23" s="245">
        <f>-(AJ6+AJ7+AJ11)</f>
        <v>55577</v>
      </c>
      <c r="AK23" s="144"/>
      <c r="AL23" s="273" t="s">
        <v>73</v>
      </c>
      <c r="AM23" s="245">
        <f>-(AM6+AM7+AM11)</f>
        <v>98475</v>
      </c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</row>
    <row r="24" spans="2:54" s="112" customFormat="1" ht="36" customHeight="1" hidden="1" thickBot="1">
      <c r="B24" s="113"/>
      <c r="C24" s="114"/>
      <c r="D24" s="80"/>
      <c r="E24" s="116"/>
      <c r="F24" s="80"/>
      <c r="G24" s="80"/>
      <c r="H24" s="115"/>
      <c r="I24" s="115"/>
      <c r="J24" s="114"/>
      <c r="K24" s="115"/>
      <c r="L24" s="576" t="s">
        <v>47</v>
      </c>
      <c r="M24" s="577"/>
      <c r="N24" s="578"/>
      <c r="O24" s="266"/>
      <c r="P24" s="266"/>
      <c r="Q24" s="253">
        <f>N23+R22</f>
        <v>984.321827562543</v>
      </c>
      <c r="R24" s="192" t="s">
        <v>34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229" t="e">
        <f>#REF!+#REF!+#REF!</f>
        <v>#REF!</v>
      </c>
      <c r="BB24" s="80"/>
    </row>
    <row r="25" spans="2:54" s="100" customFormat="1" ht="33" customHeight="1" thickBot="1">
      <c r="B25" s="117"/>
      <c r="C25" s="94"/>
      <c r="D25" s="36"/>
      <c r="E25" s="88"/>
      <c r="F25" s="36"/>
      <c r="G25" s="36"/>
      <c r="H25" s="94"/>
      <c r="I25" s="94"/>
      <c r="J25" s="41"/>
      <c r="K25" s="579"/>
      <c r="L25" s="580"/>
      <c r="M25" s="296"/>
      <c r="N25" s="94"/>
      <c r="O25" s="94"/>
      <c r="P25" s="94"/>
      <c r="Q25" s="94"/>
      <c r="R25" s="94"/>
      <c r="S25" s="89"/>
      <c r="T25" s="581" t="s">
        <v>107</v>
      </c>
      <c r="U25" s="582"/>
      <c r="V25" s="190">
        <f>R22+V22</f>
        <v>16524.921827562546</v>
      </c>
      <c r="W25" s="374" t="s">
        <v>124</v>
      </c>
      <c r="X25" s="387">
        <f>V25*100/W22</f>
        <v>13.813907872763105</v>
      </c>
      <c r="Y25" s="89"/>
      <c r="Z25" s="89"/>
      <c r="AA25" s="89"/>
      <c r="AB25" s="89"/>
      <c r="AC25" s="404"/>
      <c r="AD25" s="190">
        <f>AC22+AF22</f>
        <v>730</v>
      </c>
      <c r="AE25" s="412" t="s">
        <v>134</v>
      </c>
      <c r="AF25" s="413">
        <f>-AF10</f>
        <v>210.00000000000182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189" t="s">
        <v>41</v>
      </c>
      <c r="BB25" s="448">
        <f>AM22+AJ22+AF22+AC22</f>
        <v>2587</v>
      </c>
    </row>
    <row r="26" spans="2:54" s="100" customFormat="1" ht="12.75">
      <c r="B26" s="118"/>
      <c r="C26" s="119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8"/>
      <c r="BB26" s="36"/>
    </row>
    <row r="27" spans="2:54" s="100" customFormat="1" ht="12.75">
      <c r="B27" s="89"/>
      <c r="C27" s="41"/>
      <c r="D27" s="36"/>
      <c r="E27" s="88"/>
      <c r="F27" s="36"/>
      <c r="G27" s="36"/>
      <c r="H27" s="94"/>
      <c r="I27" s="94"/>
      <c r="J27" s="41"/>
      <c r="K27" s="94"/>
      <c r="L27" s="94"/>
      <c r="M27" s="94"/>
      <c r="N27" s="94"/>
      <c r="O27" s="94"/>
      <c r="P27" s="94"/>
      <c r="Q27" s="94"/>
      <c r="R27" s="94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16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8"/>
      <c r="BB27" s="36"/>
    </row>
    <row r="28" spans="2:54" s="100" customFormat="1" ht="12.75">
      <c r="B28" s="93"/>
      <c r="C28" s="92"/>
      <c r="D28" s="108"/>
      <c r="E28" s="103"/>
      <c r="F28" s="92"/>
      <c r="G28" s="92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20"/>
      <c r="BB28" s="121"/>
    </row>
    <row r="29" spans="2:54" s="100" customFormat="1" ht="15.75" customHeight="1">
      <c r="B29" s="93"/>
      <c r="C29" s="92"/>
      <c r="D29" s="108"/>
      <c r="E29" s="252"/>
      <c r="F29" s="108"/>
      <c r="G29" s="108"/>
      <c r="H29" s="109"/>
      <c r="I29" s="109"/>
      <c r="J29" s="92"/>
      <c r="K29" s="109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8"/>
    </row>
    <row r="30" spans="2:54" s="100" customFormat="1" ht="15" customHeight="1">
      <c r="B30" s="110"/>
      <c r="C30" s="92"/>
      <c r="D30" s="108"/>
      <c r="E30" s="103"/>
      <c r="F30" s="108"/>
      <c r="G30" s="108"/>
      <c r="H30" s="109"/>
      <c r="I30" s="109"/>
      <c r="J30" s="92"/>
      <c r="K30" s="108"/>
      <c r="L30" s="109"/>
      <c r="M30" s="109"/>
      <c r="N30" s="109"/>
      <c r="O30" s="109"/>
      <c r="P30" s="109"/>
      <c r="Q30" s="109"/>
      <c r="R30" s="109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53"/>
      <c r="BB30" s="108"/>
    </row>
    <row r="31" spans="2:54" s="100" customFormat="1" ht="17.25" customHeight="1">
      <c r="B31" s="111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103"/>
      <c r="BB31" s="108"/>
    </row>
    <row r="32" spans="2:54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8"/>
      <c r="BB32" s="36"/>
    </row>
    <row r="33" spans="2:54" s="100" customFormat="1" ht="25.5" customHeight="1" hidden="1" thickBot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8"/>
      <c r="BB33" s="36"/>
    </row>
    <row r="34" spans="2:54" s="100" customFormat="1" ht="25.5" customHeight="1" hidden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8"/>
      <c r="BB34" s="36"/>
    </row>
    <row r="35" spans="2:54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8"/>
      <c r="BB35" s="36"/>
    </row>
    <row r="36" spans="2:54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8"/>
      <c r="BB36" s="36"/>
    </row>
    <row r="37" spans="2:54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8"/>
      <c r="BB37" s="36"/>
    </row>
    <row r="38" spans="2:54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8"/>
      <c r="BB38" s="36"/>
    </row>
    <row r="39" spans="2:54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8"/>
      <c r="BB39" s="36"/>
    </row>
    <row r="40" spans="2:54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8"/>
      <c r="BB40" s="36"/>
    </row>
    <row r="41" spans="2:54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8"/>
      <c r="BB41" s="36"/>
    </row>
    <row r="42" spans="2:54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8"/>
      <c r="BB42" s="36"/>
    </row>
    <row r="43" spans="2:54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8"/>
      <c r="BB43" s="36"/>
    </row>
    <row r="44" spans="2:54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8"/>
      <c r="BB44" s="36"/>
    </row>
    <row r="45" spans="2:54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8"/>
      <c r="BB45" s="36"/>
    </row>
    <row r="46" spans="2:54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8"/>
      <c r="BB46" s="36"/>
    </row>
    <row r="47" spans="2:54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8"/>
      <c r="BB47" s="36"/>
    </row>
    <row r="48" spans="2:54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8"/>
      <c r="BB48" s="36"/>
    </row>
    <row r="49" spans="2:54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8"/>
      <c r="BB49" s="36"/>
    </row>
    <row r="50" spans="2:54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8"/>
      <c r="BB50" s="36"/>
    </row>
    <row r="51" spans="2:54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8"/>
      <c r="BB51" s="36"/>
    </row>
    <row r="52" spans="2:54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8"/>
      <c r="BB52" s="36"/>
    </row>
    <row r="53" spans="2:54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8"/>
      <c r="BB53" s="36"/>
    </row>
    <row r="54" spans="2:54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8"/>
      <c r="BB54" s="36"/>
    </row>
    <row r="55" spans="2:54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8"/>
      <c r="BB55" s="36"/>
    </row>
    <row r="56" spans="2:54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8"/>
      <c r="BB56" s="36"/>
    </row>
    <row r="57" spans="2:54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8"/>
      <c r="BB57" s="36"/>
    </row>
    <row r="58" spans="2:54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8"/>
      <c r="BB58" s="36"/>
    </row>
    <row r="59" spans="2:54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8"/>
      <c r="BB59" s="36"/>
    </row>
    <row r="60" spans="2:54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8"/>
      <c r="BB60" s="36"/>
    </row>
    <row r="61" spans="2:54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8"/>
      <c r="BB61" s="36"/>
    </row>
    <row r="62" spans="2:54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8"/>
      <c r="BB62" s="36"/>
    </row>
    <row r="63" spans="2:54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8"/>
      <c r="BB63" s="36"/>
    </row>
    <row r="64" spans="2:54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8"/>
      <c r="BB64" s="36"/>
    </row>
    <row r="65" spans="2:54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8"/>
      <c r="BB65" s="36"/>
    </row>
    <row r="66" spans="2:54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8"/>
      <c r="BB66" s="36"/>
    </row>
    <row r="67" spans="2:54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8"/>
      <c r="BB67" s="36"/>
    </row>
    <row r="68" spans="2:54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8"/>
      <c r="BB68" s="36"/>
    </row>
    <row r="69" spans="2:54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8"/>
      <c r="BB69" s="36"/>
    </row>
    <row r="70" spans="2:54" s="100" customFormat="1" ht="25.5" customHeight="1">
      <c r="B70" s="89"/>
      <c r="C70" s="41"/>
      <c r="D70" s="36"/>
      <c r="E70" s="88"/>
      <c r="F70" s="36"/>
      <c r="G70" s="36"/>
      <c r="H70" s="94"/>
      <c r="I70" s="94"/>
      <c r="J70" s="41"/>
      <c r="K70" s="94"/>
      <c r="L70" s="94"/>
      <c r="M70" s="94"/>
      <c r="N70" s="94"/>
      <c r="O70" s="94"/>
      <c r="P70" s="94"/>
      <c r="Q70" s="94"/>
      <c r="R70" s="94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8"/>
      <c r="BB70" s="36"/>
    </row>
  </sheetData>
  <sheetProtection/>
  <mergeCells count="3">
    <mergeCell ref="L24:N24"/>
    <mergeCell ref="K25:L25"/>
    <mergeCell ref="T25:U25"/>
  </mergeCells>
  <printOptions/>
  <pageMargins left="0.16" right="0.16" top="0.27" bottom="0.21" header="0.17" footer="0.17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V30"/>
  <sheetViews>
    <sheetView workbookViewId="0" topLeftCell="A1">
      <selection activeCell="AT20" sqref="AT20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71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hidden="1" customWidth="1"/>
    <col min="20" max="20" width="8.125" style="28" hidden="1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0.00390625" style="28" hidden="1" customWidth="1"/>
    <col min="26" max="30" width="9.125" style="28" hidden="1" customWidth="1"/>
    <col min="31" max="31" width="9.625" style="28" customWidth="1"/>
    <col min="32" max="32" width="9.125" style="28" hidden="1" customWidth="1"/>
    <col min="33" max="33" width="9.125" style="28" customWidth="1"/>
    <col min="34" max="34" width="8.25390625" style="28" hidden="1" customWidth="1"/>
    <col min="35" max="35" width="8.875" style="28" hidden="1" customWidth="1"/>
    <col min="36" max="36" width="9.25390625" style="28" customWidth="1"/>
    <col min="37" max="37" width="9.125" style="28" hidden="1" customWidth="1"/>
    <col min="38" max="39" width="9.125" style="28" bestFit="1" customWidth="1"/>
    <col min="40" max="40" width="9.125" style="28" customWidth="1"/>
    <col min="41" max="41" width="8.625" style="28" customWidth="1"/>
    <col min="42" max="42" width="8.50390625" style="28" customWidth="1"/>
    <col min="43" max="43" width="9.125" style="28" customWidth="1"/>
    <col min="44" max="44" width="9.125" style="28" bestFit="1" customWidth="1"/>
    <col min="45" max="45" width="8.875" style="28" customWidth="1"/>
    <col min="46" max="46" width="9.125" style="28" customWidth="1"/>
    <col min="47" max="47" width="7.75390625" style="28" customWidth="1"/>
    <col min="48" max="48" width="8.875" style="28" customWidth="1"/>
    <col min="49" max="49" width="8.75390625" style="28" customWidth="1"/>
    <col min="50" max="50" width="9.875" style="28" bestFit="1" customWidth="1"/>
    <col min="51" max="51" width="10.875" style="105" bestFit="1" customWidth="1"/>
    <col min="52" max="52" width="11.50390625" style="1" customWidth="1"/>
    <col min="53" max="53" width="9.25390625" style="1" hidden="1" customWidth="1"/>
    <col min="54" max="16384" width="9.00390625" style="1" customWidth="1"/>
  </cols>
  <sheetData>
    <row r="1" spans="1:52" s="3" customFormat="1" ht="31.5" customHeight="1">
      <c r="A1" s="12" t="s">
        <v>6</v>
      </c>
      <c r="B1" s="12"/>
      <c r="C1" s="25"/>
      <c r="D1" s="2"/>
      <c r="E1" s="26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105"/>
      <c r="AZ1" s="139" t="s">
        <v>35</v>
      </c>
    </row>
    <row r="2" ht="10.5" customHeight="1">
      <c r="A2" s="8"/>
    </row>
    <row r="3" spans="1:51" s="3" customFormat="1" ht="22.5" customHeight="1" thickBot="1">
      <c r="A3" s="12" t="s">
        <v>67</v>
      </c>
      <c r="C3" s="13"/>
      <c r="D3" s="2"/>
      <c r="E3" s="26"/>
      <c r="F3" s="2"/>
      <c r="G3" s="2"/>
      <c r="H3" s="2"/>
      <c r="I3" s="2"/>
      <c r="J3" s="2"/>
      <c r="K3" s="2"/>
      <c r="L3" s="71"/>
      <c r="M3" s="2"/>
      <c r="N3" s="2"/>
      <c r="O3" s="2"/>
      <c r="P3" s="2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156"/>
    </row>
    <row r="4" spans="1:53" s="9" customFormat="1" ht="57.75" customHeight="1" thickBot="1">
      <c r="A4" s="95" t="s">
        <v>10</v>
      </c>
      <c r="B4" s="96" t="s">
        <v>0</v>
      </c>
      <c r="C4" s="171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83</v>
      </c>
      <c r="M4" s="19" t="s">
        <v>84</v>
      </c>
      <c r="N4" s="18"/>
      <c r="O4" s="37" t="s">
        <v>32</v>
      </c>
      <c r="P4" s="72" t="s">
        <v>85</v>
      </c>
      <c r="Q4" s="185" t="s">
        <v>108</v>
      </c>
      <c r="R4" s="311" t="s">
        <v>86</v>
      </c>
      <c r="S4" s="37" t="s">
        <v>95</v>
      </c>
      <c r="T4" s="72" t="s">
        <v>96</v>
      </c>
      <c r="U4" s="373" t="s">
        <v>121</v>
      </c>
      <c r="V4" s="130" t="s">
        <v>122</v>
      </c>
      <c r="W4" s="334" t="s">
        <v>97</v>
      </c>
      <c r="X4" s="311" t="s">
        <v>88</v>
      </c>
      <c r="Y4" s="377" t="s">
        <v>123</v>
      </c>
      <c r="Z4" s="37" t="s">
        <v>127</v>
      </c>
      <c r="AA4" s="72" t="s">
        <v>128</v>
      </c>
      <c r="AB4" s="311" t="s">
        <v>89</v>
      </c>
      <c r="AC4" s="37" t="s">
        <v>132</v>
      </c>
      <c r="AD4" s="72" t="s">
        <v>133</v>
      </c>
      <c r="AE4" s="357" t="s">
        <v>141</v>
      </c>
      <c r="AF4" s="358" t="s">
        <v>99</v>
      </c>
      <c r="AG4" s="37" t="s">
        <v>136</v>
      </c>
      <c r="AH4" s="72" t="s">
        <v>137</v>
      </c>
      <c r="AI4" s="358" t="s">
        <v>98</v>
      </c>
      <c r="AJ4" s="37" t="s">
        <v>144</v>
      </c>
      <c r="AK4" s="72" t="s">
        <v>145</v>
      </c>
      <c r="AL4" s="358" t="s">
        <v>100</v>
      </c>
      <c r="AM4" s="357" t="s">
        <v>101</v>
      </c>
      <c r="AN4" s="300" t="s">
        <v>153</v>
      </c>
      <c r="AO4" s="358" t="s">
        <v>102</v>
      </c>
      <c r="AP4" s="453" t="s">
        <v>154</v>
      </c>
      <c r="AQ4" s="457" t="s">
        <v>155</v>
      </c>
      <c r="AR4" s="358" t="s">
        <v>103</v>
      </c>
      <c r="AS4" s="453" t="s">
        <v>154</v>
      </c>
      <c r="AT4" s="457" t="s">
        <v>156</v>
      </c>
      <c r="AU4" s="358" t="s">
        <v>104</v>
      </c>
      <c r="AV4" s="453" t="s">
        <v>154</v>
      </c>
      <c r="AW4" s="457" t="s">
        <v>157</v>
      </c>
      <c r="AX4" s="357" t="s">
        <v>158</v>
      </c>
      <c r="AY4" s="225" t="s">
        <v>159</v>
      </c>
      <c r="AZ4" s="219" t="s">
        <v>55</v>
      </c>
      <c r="BA4" s="96" t="s">
        <v>130</v>
      </c>
    </row>
    <row r="5" spans="1:53" s="5" customFormat="1" ht="25.5" customHeight="1">
      <c r="A5" s="51">
        <v>1</v>
      </c>
      <c r="B5" s="97" t="s">
        <v>26</v>
      </c>
      <c r="C5" s="172">
        <v>574825.8</v>
      </c>
      <c r="D5" s="24">
        <f>48178.33+5727.72</f>
        <v>53906.05</v>
      </c>
      <c r="E5" s="101">
        <v>54614.8</v>
      </c>
      <c r="F5" s="20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50">
        <f>H5+I5+4490</f>
        <v>48255.775223350756</v>
      </c>
      <c r="K5" s="38">
        <v>49085.22</v>
      </c>
      <c r="L5" s="20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86">
        <f aca="true" t="shared" si="3" ref="Q5:Q11">E5+K5+O5</f>
        <v>147409.62</v>
      </c>
      <c r="R5" s="306">
        <f>48822.11+4633.13</f>
        <v>53455.24</v>
      </c>
      <c r="S5" s="333">
        <v>53652.1</v>
      </c>
      <c r="T5" s="354">
        <f aca="true" t="shared" si="4" ref="T5:T11">R5-S5</f>
        <v>-196.86000000000058</v>
      </c>
      <c r="U5" s="345">
        <f>(C5+Q5+S5)/16</f>
        <v>48492.97</v>
      </c>
      <c r="V5" s="264">
        <f>U5*V16/100</f>
        <v>192.4474658620065</v>
      </c>
      <c r="W5" s="344">
        <v>319516.14</v>
      </c>
      <c r="X5" s="345">
        <f>48000-4633.13</f>
        <v>43366.87</v>
      </c>
      <c r="Y5" s="378">
        <f>V5+X5+4909.13</f>
        <v>48468.44746586201</v>
      </c>
      <c r="Z5" s="391">
        <v>48901.99</v>
      </c>
      <c r="AA5" s="354">
        <f aca="true" t="shared" si="5" ref="AA5:AA11">Y5-Z5</f>
        <v>-433.5425341379887</v>
      </c>
      <c r="AB5" s="345">
        <f>48000-4909.13</f>
        <v>43090.87</v>
      </c>
      <c r="AC5" s="391">
        <v>43459.56</v>
      </c>
      <c r="AD5" s="354">
        <f aca="true" t="shared" si="6" ref="AD5:AD11">AB5-AC5</f>
        <v>-368.68999999999505</v>
      </c>
      <c r="AE5" s="359">
        <f aca="true" t="shared" si="7" ref="AE5:AE11">S5+Z5+AC5</f>
        <v>146013.65</v>
      </c>
      <c r="AF5" s="345">
        <f>48000+4573.76</f>
        <v>52573.76</v>
      </c>
      <c r="AG5" s="391">
        <v>52761</v>
      </c>
      <c r="AH5" s="354">
        <f aca="true" t="shared" si="8" ref="AH5:AH11">AF5-AG5</f>
        <v>-187.23999999999796</v>
      </c>
      <c r="AI5" s="345">
        <f>48000-4573.76+4099.73</f>
        <v>47525.97</v>
      </c>
      <c r="AJ5" s="391">
        <v>47804.35</v>
      </c>
      <c r="AK5" s="354">
        <f aca="true" t="shared" si="9" ref="AK5:AK11">AI5-AJ5</f>
        <v>-278.3799999999974</v>
      </c>
      <c r="AL5" s="345">
        <f>48000-4099.73</f>
        <v>43900.270000000004</v>
      </c>
      <c r="AM5" s="359">
        <f aca="true" t="shared" si="10" ref="AM5:AM11">AG5+AJ5+AL5</f>
        <v>144465.62</v>
      </c>
      <c r="AN5" s="344">
        <v>76617.43</v>
      </c>
      <c r="AO5" s="345">
        <v>48000</v>
      </c>
      <c r="AP5" s="454">
        <v>12000</v>
      </c>
      <c r="AQ5" s="458">
        <f>AO5+AP5</f>
        <v>60000</v>
      </c>
      <c r="AR5" s="345">
        <v>31516.14</v>
      </c>
      <c r="AS5" s="454">
        <v>28484</v>
      </c>
      <c r="AT5" s="458">
        <f>AR5+AS5</f>
        <v>60000.14</v>
      </c>
      <c r="AU5" s="345">
        <v>0</v>
      </c>
      <c r="AV5" s="454">
        <f>AN5-AP5-AS5</f>
        <v>36133.42999999999</v>
      </c>
      <c r="AW5" s="458">
        <f>AU5+AV5</f>
        <v>36133.42999999999</v>
      </c>
      <c r="AX5" s="359">
        <f>AQ5+AT5+AW5</f>
        <v>156133.57</v>
      </c>
      <c r="AY5" s="133">
        <f aca="true" t="shared" si="11" ref="AY5:AY11">Q5+AE5+AM5+AX5</f>
        <v>594022.46</v>
      </c>
      <c r="AZ5" s="90">
        <f aca="true" t="shared" si="12" ref="AZ5:AZ11">Q5+AE5+AG5+AJ5</f>
        <v>393988.62</v>
      </c>
      <c r="BA5" s="264"/>
    </row>
    <row r="6" spans="1:53" s="5" customFormat="1" ht="23.25" customHeight="1">
      <c r="A6" s="51">
        <v>2</v>
      </c>
      <c r="B6" s="97" t="s">
        <v>27</v>
      </c>
      <c r="C6" s="172">
        <v>426803.37</v>
      </c>
      <c r="D6" s="24">
        <v>37499.24</v>
      </c>
      <c r="E6" s="101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50">
        <f>H6+I6</f>
        <v>37048.18</v>
      </c>
      <c r="K6" s="38">
        <v>37222.53</v>
      </c>
      <c r="L6" s="202">
        <f t="shared" si="1"/>
        <v>-174.34999999999854</v>
      </c>
      <c r="M6" s="24">
        <v>37048.18</v>
      </c>
      <c r="N6" s="23"/>
      <c r="O6" s="38">
        <v>37199.5</v>
      </c>
      <c r="P6" s="202">
        <f t="shared" si="2"/>
        <v>-151.3199999999997</v>
      </c>
      <c r="Q6" s="186">
        <f t="shared" si="3"/>
        <v>106786.32</v>
      </c>
      <c r="R6" s="306">
        <v>36735.92</v>
      </c>
      <c r="S6" s="333">
        <v>35753.71</v>
      </c>
      <c r="T6" s="264">
        <f t="shared" si="4"/>
        <v>982.2099999999991</v>
      </c>
      <c r="U6" s="345"/>
      <c r="V6" s="264">
        <v>0</v>
      </c>
      <c r="W6" s="344">
        <v>233683.13</v>
      </c>
      <c r="X6" s="345">
        <v>35000</v>
      </c>
      <c r="Y6" s="378">
        <f>V6+X6+227.67</f>
        <v>35227.67</v>
      </c>
      <c r="Z6" s="391">
        <v>35445.22</v>
      </c>
      <c r="AA6" s="354">
        <f t="shared" si="5"/>
        <v>-217.5500000000029</v>
      </c>
      <c r="AB6" s="345">
        <f>35000-227.67</f>
        <v>34772.33</v>
      </c>
      <c r="AC6" s="391">
        <v>34771.13</v>
      </c>
      <c r="AD6" s="345">
        <f t="shared" si="6"/>
        <v>1.2000000000043656</v>
      </c>
      <c r="AE6" s="359">
        <f t="shared" si="7"/>
        <v>105970.06</v>
      </c>
      <c r="AF6" s="345">
        <f>35000+149.84</f>
        <v>35149.84</v>
      </c>
      <c r="AG6" s="391">
        <v>35211.19</v>
      </c>
      <c r="AH6" s="354">
        <f t="shared" si="8"/>
        <v>-61.35000000000582</v>
      </c>
      <c r="AI6" s="345">
        <f>35000-149.84</f>
        <v>34850.16</v>
      </c>
      <c r="AJ6" s="391">
        <v>34744.57</v>
      </c>
      <c r="AK6" s="345">
        <f t="shared" si="9"/>
        <v>105.59000000000378</v>
      </c>
      <c r="AL6" s="345">
        <v>35000</v>
      </c>
      <c r="AM6" s="359">
        <f t="shared" si="10"/>
        <v>104955.76000000001</v>
      </c>
      <c r="AN6" s="344">
        <v>55258.73</v>
      </c>
      <c r="AO6" s="345">
        <v>35000</v>
      </c>
      <c r="AP6" s="454">
        <v>5000</v>
      </c>
      <c r="AQ6" s="458">
        <f>AO6+AP6</f>
        <v>40000</v>
      </c>
      <c r="AR6" s="345">
        <v>23683.13</v>
      </c>
      <c r="AS6" s="454">
        <v>16317</v>
      </c>
      <c r="AT6" s="458">
        <f>AR6+AS6</f>
        <v>40000.130000000005</v>
      </c>
      <c r="AU6" s="345">
        <v>0</v>
      </c>
      <c r="AV6" s="454">
        <f aca="true" t="shared" si="13" ref="AV6:AV13">AN6-AP6-AS6</f>
        <v>33941.73</v>
      </c>
      <c r="AW6" s="458">
        <f>AU6+AV6</f>
        <v>33941.73</v>
      </c>
      <c r="AX6" s="359">
        <f aca="true" t="shared" si="14" ref="AX6:AX13">AQ6+AT6+AW6</f>
        <v>113941.86000000002</v>
      </c>
      <c r="AY6" s="133">
        <f t="shared" si="11"/>
        <v>431654</v>
      </c>
      <c r="AZ6" s="90">
        <f t="shared" si="12"/>
        <v>282712.14</v>
      </c>
      <c r="BA6" s="265"/>
    </row>
    <row r="7" spans="1:53" s="5" customFormat="1" ht="22.5" customHeight="1">
      <c r="A7" s="51">
        <v>3</v>
      </c>
      <c r="B7" s="97" t="s">
        <v>28</v>
      </c>
      <c r="C7" s="172">
        <v>335586.98</v>
      </c>
      <c r="D7" s="24">
        <f>26223.52+2540.95</f>
        <v>28764.47</v>
      </c>
      <c r="E7" s="101">
        <v>30266.38</v>
      </c>
      <c r="F7" s="20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50">
        <f>H7+I7+2406.24</f>
        <v>26853.16258325889</v>
      </c>
      <c r="K7" s="38">
        <v>29872.08</v>
      </c>
      <c r="L7" s="202">
        <f t="shared" si="1"/>
        <v>-3018.917416741111</v>
      </c>
      <c r="M7" s="24">
        <f>26236.82-2406.24</f>
        <v>23830.58</v>
      </c>
      <c r="N7" s="23"/>
      <c r="O7" s="38">
        <v>28811.09</v>
      </c>
      <c r="P7" s="202">
        <f t="shared" si="2"/>
        <v>-4980.509999999998</v>
      </c>
      <c r="Q7" s="186">
        <f t="shared" si="3"/>
        <v>88949.55</v>
      </c>
      <c r="R7" s="306">
        <f>26578.76+2753.07</f>
        <v>29331.829999999998</v>
      </c>
      <c r="S7" s="333">
        <v>29331.83</v>
      </c>
      <c r="T7" s="264">
        <f t="shared" si="4"/>
        <v>0</v>
      </c>
      <c r="U7" s="345">
        <f>(C7+Q7+S7)/16</f>
        <v>28366.7725</v>
      </c>
      <c r="V7" s="264">
        <f>U7*V16/100</f>
        <v>112.57535849648009</v>
      </c>
      <c r="W7" s="344">
        <v>174759.34</v>
      </c>
      <c r="X7" s="345">
        <f>26000-2753.07</f>
        <v>23246.93</v>
      </c>
      <c r="Y7" s="378">
        <f>V7+X7+2305.07</f>
        <v>25664.57535849648</v>
      </c>
      <c r="Z7" s="391">
        <v>28469.02</v>
      </c>
      <c r="AA7" s="354">
        <f t="shared" si="5"/>
        <v>-2804.44464150352</v>
      </c>
      <c r="AB7" s="345">
        <f>26000-2305.07</f>
        <v>23694.93</v>
      </c>
      <c r="AC7" s="391">
        <v>24619.66</v>
      </c>
      <c r="AD7" s="354">
        <f t="shared" si="6"/>
        <v>-924.7299999999996</v>
      </c>
      <c r="AE7" s="359">
        <f t="shared" si="7"/>
        <v>82420.51000000001</v>
      </c>
      <c r="AF7" s="345">
        <f>26000+2271.65</f>
        <v>28271.65</v>
      </c>
      <c r="AG7" s="391">
        <v>29076.51</v>
      </c>
      <c r="AH7" s="354">
        <f t="shared" si="8"/>
        <v>-804.859999999997</v>
      </c>
      <c r="AI7" s="345">
        <f>26000-2271.65+2297.33</f>
        <v>26025.68</v>
      </c>
      <c r="AJ7" s="391">
        <v>27912.67</v>
      </c>
      <c r="AK7" s="354">
        <f t="shared" si="9"/>
        <v>-1886.989999999998</v>
      </c>
      <c r="AL7" s="345">
        <f>26000-2297.33</f>
        <v>23702.67</v>
      </c>
      <c r="AM7" s="359">
        <f t="shared" si="10"/>
        <v>80691.84999999999</v>
      </c>
      <c r="AN7" s="344">
        <v>40870.39</v>
      </c>
      <c r="AO7" s="345">
        <v>26000</v>
      </c>
      <c r="AP7" s="454">
        <v>5000</v>
      </c>
      <c r="AQ7" s="458">
        <f aca="true" t="shared" si="15" ref="AQ7:AQ13">AO7+AP7</f>
        <v>31000</v>
      </c>
      <c r="AR7" s="345">
        <v>18759.34</v>
      </c>
      <c r="AS7" s="454">
        <v>15000</v>
      </c>
      <c r="AT7" s="458">
        <f aca="true" t="shared" si="16" ref="AT7:AT13">AR7+AS7</f>
        <v>33759.34</v>
      </c>
      <c r="AU7" s="345">
        <v>0</v>
      </c>
      <c r="AV7" s="454">
        <f t="shared" si="13"/>
        <v>20870.39</v>
      </c>
      <c r="AW7" s="458">
        <f aca="true" t="shared" si="17" ref="AW7:AW13">AU7+AV7</f>
        <v>20870.39</v>
      </c>
      <c r="AX7" s="359">
        <f t="shared" si="14"/>
        <v>85629.73</v>
      </c>
      <c r="AY7" s="133">
        <f t="shared" si="11"/>
        <v>337691.63999999996</v>
      </c>
      <c r="AZ7" s="90">
        <f t="shared" si="12"/>
        <v>228359.24</v>
      </c>
      <c r="BA7" s="265"/>
    </row>
    <row r="8" spans="1:53" s="5" customFormat="1" ht="22.5" customHeight="1">
      <c r="A8" s="51">
        <v>4</v>
      </c>
      <c r="B8" s="97" t="s">
        <v>29</v>
      </c>
      <c r="C8" s="172">
        <v>588158.09</v>
      </c>
      <c r="D8" s="24">
        <f>28012.74+264.52</f>
        <v>28277.260000000002</v>
      </c>
      <c r="E8" s="101">
        <v>63506.74</v>
      </c>
      <c r="F8" s="20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50">
        <f>H8+I8</f>
        <v>29100.168872542992</v>
      </c>
      <c r="K8" s="38">
        <v>67292.77</v>
      </c>
      <c r="L8" s="202">
        <f t="shared" si="1"/>
        <v>-38192.60112745701</v>
      </c>
      <c r="M8" s="24">
        <f>28026.9+177.94</f>
        <v>28204.84</v>
      </c>
      <c r="N8" s="23"/>
      <c r="O8" s="38">
        <v>76347.19</v>
      </c>
      <c r="P8" s="202">
        <f t="shared" si="2"/>
        <v>-48142.350000000006</v>
      </c>
      <c r="Q8" s="186">
        <f t="shared" si="3"/>
        <v>207146.7</v>
      </c>
      <c r="R8" s="306">
        <f>28391.85-177.94</f>
        <v>28213.91</v>
      </c>
      <c r="S8" s="333">
        <v>39292.43</v>
      </c>
      <c r="T8" s="354">
        <f t="shared" si="4"/>
        <v>-11078.52</v>
      </c>
      <c r="U8" s="345">
        <f>(C8+Q8+S8)/16</f>
        <v>52162.326250000006</v>
      </c>
      <c r="V8" s="264">
        <f>U8*V16/100</f>
        <v>207.00954180120792</v>
      </c>
      <c r="W8" s="344">
        <v>185025.58</v>
      </c>
      <c r="X8" s="345">
        <v>28000</v>
      </c>
      <c r="Y8" s="378">
        <f>V8+X8</f>
        <v>28207.00954180121</v>
      </c>
      <c r="Z8" s="391">
        <v>77959.78</v>
      </c>
      <c r="AA8" s="354">
        <f t="shared" si="5"/>
        <v>-49752.77045819879</v>
      </c>
      <c r="AB8" s="345">
        <v>28000</v>
      </c>
      <c r="AC8" s="391">
        <v>65373.36</v>
      </c>
      <c r="AD8" s="354">
        <f t="shared" si="6"/>
        <v>-37373.36</v>
      </c>
      <c r="AE8" s="359">
        <f t="shared" si="7"/>
        <v>182625.57</v>
      </c>
      <c r="AF8" s="345">
        <f>28000+360.52</f>
        <v>28360.52</v>
      </c>
      <c r="AG8" s="391">
        <v>66645.11</v>
      </c>
      <c r="AH8" s="354">
        <f t="shared" si="8"/>
        <v>-38284.59</v>
      </c>
      <c r="AI8" s="345">
        <f>28000-360.52+1.17</f>
        <v>27640.649999999998</v>
      </c>
      <c r="AJ8" s="391">
        <v>66457.85</v>
      </c>
      <c r="AK8" s="354">
        <f t="shared" si="9"/>
        <v>-38817.20000000001</v>
      </c>
      <c r="AL8" s="345">
        <f>28000-1.17</f>
        <v>27998.83</v>
      </c>
      <c r="AM8" s="359">
        <f t="shared" si="10"/>
        <v>161101.79000000004</v>
      </c>
      <c r="AN8" s="344">
        <v>44367.66</v>
      </c>
      <c r="AO8" s="345">
        <v>28000</v>
      </c>
      <c r="AP8" s="454">
        <v>7000</v>
      </c>
      <c r="AQ8" s="458">
        <f t="shared" si="15"/>
        <v>35000</v>
      </c>
      <c r="AR8" s="345">
        <v>17025.58</v>
      </c>
      <c r="AS8" s="454">
        <v>17975</v>
      </c>
      <c r="AT8" s="458">
        <f t="shared" si="16"/>
        <v>35000.58</v>
      </c>
      <c r="AU8" s="345">
        <v>0</v>
      </c>
      <c r="AV8" s="454">
        <f t="shared" si="13"/>
        <v>19392.660000000003</v>
      </c>
      <c r="AW8" s="458">
        <f t="shared" si="17"/>
        <v>19392.660000000003</v>
      </c>
      <c r="AX8" s="359">
        <f t="shared" si="14"/>
        <v>89393.24</v>
      </c>
      <c r="AY8" s="133">
        <f t="shared" si="11"/>
        <v>640267.3</v>
      </c>
      <c r="AZ8" s="90">
        <f t="shared" si="12"/>
        <v>522875.23</v>
      </c>
      <c r="BA8" s="265"/>
    </row>
    <row r="9" spans="1:53" s="5" customFormat="1" ht="22.5" customHeight="1">
      <c r="A9" s="51">
        <v>5</v>
      </c>
      <c r="B9" s="97" t="s">
        <v>30</v>
      </c>
      <c r="C9" s="173">
        <v>822593.6</v>
      </c>
      <c r="D9" s="30">
        <f>65277.86+5355.26</f>
        <v>70633.12</v>
      </c>
      <c r="E9" s="102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83">
        <f>G9*G16/100</f>
        <v>1833.6861399656543</v>
      </c>
      <c r="J9" s="150">
        <f>H9+I9+4947.5</f>
        <v>67052.98613996565</v>
      </c>
      <c r="K9" s="38">
        <v>75695.52</v>
      </c>
      <c r="L9" s="202">
        <f t="shared" si="1"/>
        <v>-8642.533860034353</v>
      </c>
      <c r="M9" s="30">
        <f>65627.06-4947.5+3222.49</f>
        <v>63902.049999999996</v>
      </c>
      <c r="N9" s="30"/>
      <c r="O9" s="79">
        <v>105333.36</v>
      </c>
      <c r="P9" s="202">
        <f t="shared" si="2"/>
        <v>-41431.310000000005</v>
      </c>
      <c r="Q9" s="186">
        <f t="shared" si="3"/>
        <v>251662</v>
      </c>
      <c r="R9" s="306">
        <f>66494.57-3222.49+9727.82</f>
        <v>72999.90000000001</v>
      </c>
      <c r="S9" s="333">
        <v>79589.73</v>
      </c>
      <c r="T9" s="354">
        <f t="shared" si="4"/>
        <v>-6589.829999999987</v>
      </c>
      <c r="U9" s="345">
        <f>(C9+Q9+S9)/16</f>
        <v>72115.333125</v>
      </c>
      <c r="V9" s="264">
        <f>U9*V16/100</f>
        <v>286.194331048411</v>
      </c>
      <c r="W9" s="344">
        <v>420667.05</v>
      </c>
      <c r="X9" s="345">
        <f>68000-9727.82</f>
        <v>58272.18</v>
      </c>
      <c r="Y9" s="378">
        <f>V9+X9+1287.76</f>
        <v>59846.134331048415</v>
      </c>
      <c r="Z9" s="391">
        <v>86622.04</v>
      </c>
      <c r="AA9" s="354">
        <f t="shared" si="5"/>
        <v>-26775.90566895158</v>
      </c>
      <c r="AB9" s="345">
        <f>68000-1287.76+5196.34</f>
        <v>71908.58</v>
      </c>
      <c r="AC9" s="391">
        <v>100626.87</v>
      </c>
      <c r="AD9" s="354">
        <f t="shared" si="6"/>
        <v>-28718.289999999994</v>
      </c>
      <c r="AE9" s="359">
        <f t="shared" si="7"/>
        <v>266838.64</v>
      </c>
      <c r="AF9" s="345">
        <f>68000-5196.34+3044.85</f>
        <v>65848.51000000001</v>
      </c>
      <c r="AG9" s="391">
        <v>92177.52</v>
      </c>
      <c r="AH9" s="354">
        <f t="shared" si="8"/>
        <v>-26329.009999999995</v>
      </c>
      <c r="AI9" s="345">
        <f>68000-3044.85+5714.3</f>
        <v>70669.45</v>
      </c>
      <c r="AJ9" s="391">
        <v>93247.64</v>
      </c>
      <c r="AK9" s="354">
        <f t="shared" si="9"/>
        <v>-22578.190000000002</v>
      </c>
      <c r="AL9" s="345">
        <f>68000-5714.3</f>
        <v>62285.7</v>
      </c>
      <c r="AM9" s="359">
        <f t="shared" si="10"/>
        <v>247710.86</v>
      </c>
      <c r="AN9" s="344">
        <v>102684.78</v>
      </c>
      <c r="AO9" s="345">
        <v>68000</v>
      </c>
      <c r="AP9" s="454">
        <v>12000</v>
      </c>
      <c r="AQ9" s="458">
        <f t="shared" si="15"/>
        <v>80000</v>
      </c>
      <c r="AR9" s="345">
        <v>12667.05</v>
      </c>
      <c r="AS9" s="454">
        <v>50684</v>
      </c>
      <c r="AT9" s="458">
        <f t="shared" si="16"/>
        <v>63351.05</v>
      </c>
      <c r="AU9" s="345">
        <v>0</v>
      </c>
      <c r="AV9" s="454">
        <f t="shared" si="13"/>
        <v>40000.78</v>
      </c>
      <c r="AW9" s="458">
        <f t="shared" si="17"/>
        <v>40000.78</v>
      </c>
      <c r="AX9" s="359">
        <f t="shared" si="14"/>
        <v>183351.83</v>
      </c>
      <c r="AY9" s="133">
        <f t="shared" si="11"/>
        <v>949563.33</v>
      </c>
      <c r="AZ9" s="90">
        <f t="shared" si="12"/>
        <v>703925.8</v>
      </c>
      <c r="BA9" s="265"/>
    </row>
    <row r="10" spans="1:53" s="5" customFormat="1" ht="22.5" customHeight="1">
      <c r="A10" s="51">
        <v>6</v>
      </c>
      <c r="B10" s="97" t="s">
        <v>50</v>
      </c>
      <c r="C10" s="172">
        <v>101278.44</v>
      </c>
      <c r="D10" s="24">
        <f>26019.7+562.48</f>
        <v>26582.18</v>
      </c>
      <c r="E10" s="101">
        <v>26930.39</v>
      </c>
      <c r="F10" s="20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50">
        <f>H10+I10</f>
        <v>25739.977180881706</v>
      </c>
      <c r="K10" s="39">
        <v>26712.02</v>
      </c>
      <c r="L10" s="208">
        <f t="shared" si="1"/>
        <v>-972.0428191182946</v>
      </c>
      <c r="M10" s="24">
        <v>26039.26</v>
      </c>
      <c r="N10" s="24"/>
      <c r="O10" s="39">
        <v>27114.45</v>
      </c>
      <c r="P10" s="208">
        <f t="shared" si="2"/>
        <v>-1075.1900000000023</v>
      </c>
      <c r="Q10" s="186">
        <f t="shared" si="3"/>
        <v>80756.86</v>
      </c>
      <c r="R10" s="306">
        <v>26410.91</v>
      </c>
      <c r="S10" s="333">
        <v>26651.93</v>
      </c>
      <c r="T10" s="354">
        <f t="shared" si="4"/>
        <v>-241.02000000000044</v>
      </c>
      <c r="U10" s="345">
        <f>(C10+Q10+S10)/16</f>
        <v>13042.951874999999</v>
      </c>
      <c r="V10" s="264">
        <f>U10*V16/100</f>
        <v>51.76179218768939</v>
      </c>
      <c r="W10" s="344">
        <v>155828.19</v>
      </c>
      <c r="X10" s="345">
        <v>25000</v>
      </c>
      <c r="Y10" s="378">
        <f>V10+X10</f>
        <v>25051.761792187688</v>
      </c>
      <c r="Z10" s="391">
        <v>25294.61</v>
      </c>
      <c r="AA10" s="354">
        <f t="shared" si="5"/>
        <v>-242.84820781231247</v>
      </c>
      <c r="AB10" s="345">
        <f>25000+149.2</f>
        <v>25149.2</v>
      </c>
      <c r="AC10" s="391">
        <v>25326.54</v>
      </c>
      <c r="AD10" s="354">
        <f t="shared" si="6"/>
        <v>-177.34000000000015</v>
      </c>
      <c r="AE10" s="359">
        <f t="shared" si="7"/>
        <v>77273.08</v>
      </c>
      <c r="AF10" s="345">
        <f>25000-149.2+427.78</f>
        <v>25278.579999999998</v>
      </c>
      <c r="AG10" s="391">
        <v>25278.58</v>
      </c>
      <c r="AH10" s="264">
        <f t="shared" si="8"/>
        <v>0</v>
      </c>
      <c r="AI10" s="345">
        <f>25000-427.78+728.4</f>
        <v>25300.620000000003</v>
      </c>
      <c r="AJ10" s="391">
        <v>25300.62</v>
      </c>
      <c r="AK10" s="345">
        <f t="shared" si="9"/>
        <v>0</v>
      </c>
      <c r="AL10" s="345">
        <f>25000-728.4</f>
        <v>24271.6</v>
      </c>
      <c r="AM10" s="359">
        <f t="shared" si="10"/>
        <v>74850.79999999999</v>
      </c>
      <c r="AN10" s="344">
        <v>37366.37</v>
      </c>
      <c r="AO10" s="345">
        <v>20000</v>
      </c>
      <c r="AP10" s="454">
        <v>2000</v>
      </c>
      <c r="AQ10" s="458">
        <f t="shared" si="15"/>
        <v>22000</v>
      </c>
      <c r="AR10" s="345">
        <v>10828.19</v>
      </c>
      <c r="AS10" s="454">
        <v>15000</v>
      </c>
      <c r="AT10" s="458">
        <f t="shared" si="16"/>
        <v>25828.190000000002</v>
      </c>
      <c r="AU10" s="345">
        <v>0</v>
      </c>
      <c r="AV10" s="454">
        <f t="shared" si="13"/>
        <v>20366.370000000003</v>
      </c>
      <c r="AW10" s="458">
        <f t="shared" si="17"/>
        <v>20366.370000000003</v>
      </c>
      <c r="AX10" s="359">
        <f t="shared" si="14"/>
        <v>68194.56</v>
      </c>
      <c r="AY10" s="133">
        <f t="shared" si="11"/>
        <v>301075.3</v>
      </c>
      <c r="AZ10" s="90">
        <f t="shared" si="12"/>
        <v>208609.14</v>
      </c>
      <c r="BA10" s="265"/>
    </row>
    <row r="11" spans="1:53" s="5" customFormat="1" ht="26.25" customHeight="1" thickBot="1">
      <c r="A11" s="51">
        <v>7</v>
      </c>
      <c r="B11" s="98" t="s">
        <v>31</v>
      </c>
      <c r="C11" s="174">
        <v>631328.19</v>
      </c>
      <c r="D11" s="54">
        <v>55788.61</v>
      </c>
      <c r="E11" s="224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50">
        <f>H11+I11</f>
        <v>55820.45</v>
      </c>
      <c r="K11" s="53">
        <v>56077.77</v>
      </c>
      <c r="L11" s="202">
        <f t="shared" si="1"/>
        <v>-257.3199999999997</v>
      </c>
      <c r="M11" s="54">
        <v>55820.45</v>
      </c>
      <c r="N11" s="54"/>
      <c r="O11" s="53">
        <v>57301.47</v>
      </c>
      <c r="P11" s="202">
        <f t="shared" si="2"/>
        <v>-1481.020000000004</v>
      </c>
      <c r="Q11" s="186">
        <f t="shared" si="3"/>
        <v>168824.91</v>
      </c>
      <c r="R11" s="306">
        <f>56565.88+5142.06</f>
        <v>61707.939999999995</v>
      </c>
      <c r="S11" s="333">
        <v>62431.95</v>
      </c>
      <c r="T11" s="354">
        <f t="shared" si="4"/>
        <v>-724.010000000002</v>
      </c>
      <c r="U11" s="345">
        <f>(C11+Q11+S11)/16</f>
        <v>53911.565624999996</v>
      </c>
      <c r="V11" s="264">
        <f>U11*V16/100</f>
        <v>213.95151060420736</v>
      </c>
      <c r="W11" s="344">
        <v>357120.57</v>
      </c>
      <c r="X11" s="345">
        <f>57000-5142.06</f>
        <v>51857.94</v>
      </c>
      <c r="Y11" s="378">
        <f>V11+X11+12580.53</f>
        <v>64652.42151060421</v>
      </c>
      <c r="Z11" s="391">
        <v>64850.78</v>
      </c>
      <c r="AA11" s="354">
        <f t="shared" si="5"/>
        <v>-198.35848939578864</v>
      </c>
      <c r="AB11" s="345">
        <f>57000-12580.53+34124.63</f>
        <v>78544.1</v>
      </c>
      <c r="AC11" s="391">
        <v>79063.45</v>
      </c>
      <c r="AD11" s="354">
        <f t="shared" si="6"/>
        <v>-519.3499999999913</v>
      </c>
      <c r="AE11" s="359">
        <f t="shared" si="7"/>
        <v>206346.18</v>
      </c>
      <c r="AF11" s="345">
        <f>58780-34124.63+44919.57</f>
        <v>69574.94</v>
      </c>
      <c r="AG11" s="391">
        <v>69916.62</v>
      </c>
      <c r="AH11" s="354">
        <f t="shared" si="8"/>
        <v>-341.679999999993</v>
      </c>
      <c r="AI11" s="345">
        <f>58780-44919.57+54548.71</f>
        <v>68409.14</v>
      </c>
      <c r="AJ11" s="391">
        <v>68930.46</v>
      </c>
      <c r="AK11" s="354">
        <f t="shared" si="9"/>
        <v>-521.320000000007</v>
      </c>
      <c r="AL11" s="345">
        <f>58780-54548.71</f>
        <v>4231.290000000001</v>
      </c>
      <c r="AM11" s="359">
        <f t="shared" si="10"/>
        <v>143078.37000000002</v>
      </c>
      <c r="AN11" s="344">
        <v>85634.64</v>
      </c>
      <c r="AO11" s="345">
        <v>55000</v>
      </c>
      <c r="AP11" s="454">
        <v>22000</v>
      </c>
      <c r="AQ11" s="458">
        <f t="shared" si="15"/>
        <v>77000</v>
      </c>
      <c r="AR11" s="345">
        <v>11780.57</v>
      </c>
      <c r="AS11" s="454">
        <v>43635</v>
      </c>
      <c r="AT11" s="458">
        <f t="shared" si="16"/>
        <v>55415.57</v>
      </c>
      <c r="AU11" s="345">
        <v>0</v>
      </c>
      <c r="AV11" s="454">
        <f t="shared" si="13"/>
        <v>19999.64</v>
      </c>
      <c r="AW11" s="458">
        <f t="shared" si="17"/>
        <v>19999.64</v>
      </c>
      <c r="AX11" s="359">
        <f t="shared" si="14"/>
        <v>152415.21000000002</v>
      </c>
      <c r="AY11" s="133">
        <f t="shared" si="11"/>
        <v>670664.6699999999</v>
      </c>
      <c r="AZ11" s="90">
        <f t="shared" si="12"/>
        <v>514018.17</v>
      </c>
      <c r="BA11" s="265"/>
    </row>
    <row r="12" spans="1:53" s="11" customFormat="1" ht="23.25" customHeight="1" thickBot="1">
      <c r="A12" s="107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18" ref="G12:M12">SUM(G5:G11)</f>
        <v>205261.1030769231</v>
      </c>
      <c r="H12" s="44">
        <f t="shared" si="18"/>
        <v>272549.07</v>
      </c>
      <c r="I12" s="44">
        <f t="shared" si="18"/>
        <v>5477.89</v>
      </c>
      <c r="J12" s="44">
        <f t="shared" si="18"/>
        <v>289870.7</v>
      </c>
      <c r="K12" s="44">
        <f t="shared" si="18"/>
        <v>341957.91000000003</v>
      </c>
      <c r="L12" s="44">
        <f t="shared" si="18"/>
        <v>-52087.210000000014</v>
      </c>
      <c r="M12" s="44">
        <f t="shared" si="18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19" ref="U12:Z12">SUM(U5:U11)</f>
        <v>268091.919375</v>
      </c>
      <c r="V12" s="44">
        <f t="shared" si="19"/>
        <v>1063.9400000000023</v>
      </c>
      <c r="W12" s="44">
        <f t="shared" si="19"/>
        <v>1846600</v>
      </c>
      <c r="X12" s="346">
        <f t="shared" si="19"/>
        <v>264743.92</v>
      </c>
      <c r="Y12" s="346">
        <f t="shared" si="19"/>
        <v>287118.02</v>
      </c>
      <c r="Z12" s="346">
        <f t="shared" si="19"/>
        <v>367543.43999999994</v>
      </c>
      <c r="AA12" s="346">
        <v>0</v>
      </c>
      <c r="AB12" s="346">
        <f>SUM(AB5:AB11)</f>
        <v>305160.01</v>
      </c>
      <c r="AC12" s="346">
        <f>SUM(AC5:AC11)</f>
        <v>373240.57</v>
      </c>
      <c r="AD12" s="346">
        <f>AD6</f>
        <v>1.2000000000043656</v>
      </c>
      <c r="AE12" s="423">
        <f>SUM(AE5:AE11)</f>
        <v>1067487.69</v>
      </c>
      <c r="AF12" s="44">
        <f>SUM(AF5:AF11)</f>
        <v>305057.8</v>
      </c>
      <c r="AG12" s="44">
        <f>SUM(AG5:AG11)</f>
        <v>371066.53</v>
      </c>
      <c r="AH12" s="44">
        <v>0</v>
      </c>
      <c r="AI12" s="44">
        <f>SUM(AI5:AI11)</f>
        <v>300421.67</v>
      </c>
      <c r="AJ12" s="44">
        <f>SUM(AJ5:AJ11)</f>
        <v>364398.16000000003</v>
      </c>
      <c r="AK12" s="44">
        <f>AK6</f>
        <v>105.59000000000378</v>
      </c>
      <c r="AL12" s="44">
        <f aca="true" t="shared" si="20" ref="AL12:BA12">SUM(AL5:AL11)</f>
        <v>221390.36000000002</v>
      </c>
      <c r="AM12" s="44">
        <f t="shared" si="20"/>
        <v>956855.0499999999</v>
      </c>
      <c r="AN12" s="44">
        <f t="shared" si="20"/>
        <v>442800</v>
      </c>
      <c r="AO12" s="44">
        <f t="shared" si="20"/>
        <v>280000</v>
      </c>
      <c r="AP12" s="44">
        <f t="shared" si="20"/>
        <v>65000</v>
      </c>
      <c r="AQ12" s="44">
        <f t="shared" si="20"/>
        <v>345000</v>
      </c>
      <c r="AR12" s="44">
        <f>SUM(AR5:AR11)</f>
        <v>126260</v>
      </c>
      <c r="AS12" s="44">
        <f>SUM(AS5:AS11)</f>
        <v>187095</v>
      </c>
      <c r="AT12" s="44">
        <f>SUM(AT5:AT11)</f>
        <v>313355</v>
      </c>
      <c r="AU12" s="44">
        <f t="shared" si="20"/>
        <v>0</v>
      </c>
      <c r="AV12" s="44">
        <f t="shared" si="20"/>
        <v>190705</v>
      </c>
      <c r="AW12" s="44">
        <f t="shared" si="20"/>
        <v>190705</v>
      </c>
      <c r="AX12" s="44">
        <f t="shared" si="20"/>
        <v>849060</v>
      </c>
      <c r="AY12" s="44">
        <f t="shared" si="20"/>
        <v>3924938.6999999997</v>
      </c>
      <c r="AZ12" s="43">
        <f t="shared" si="20"/>
        <v>2854488.3400000003</v>
      </c>
      <c r="BA12" s="228">
        <f t="shared" si="20"/>
        <v>0</v>
      </c>
    </row>
    <row r="13" spans="1:53" s="6" customFormat="1" ht="29.25" customHeight="1" thickBot="1">
      <c r="A13" s="104">
        <v>8</v>
      </c>
      <c r="B13" s="99" t="s">
        <v>15</v>
      </c>
      <c r="C13" s="175">
        <v>163080</v>
      </c>
      <c r="D13" s="52">
        <v>10000</v>
      </c>
      <c r="E13" s="224">
        <v>12370</v>
      </c>
      <c r="F13" s="202">
        <f>D13-E13</f>
        <v>-2370</v>
      </c>
      <c r="G13" s="54"/>
      <c r="H13" s="52">
        <v>10000</v>
      </c>
      <c r="I13" s="52">
        <v>0</v>
      </c>
      <c r="J13" s="150">
        <f>H13+I13</f>
        <v>10000</v>
      </c>
      <c r="K13" s="53">
        <v>15600</v>
      </c>
      <c r="L13" s="202">
        <f>J13-K13</f>
        <v>-5600</v>
      </c>
      <c r="M13" s="52">
        <v>10000</v>
      </c>
      <c r="N13" s="52"/>
      <c r="O13" s="53">
        <v>15960</v>
      </c>
      <c r="P13" s="202">
        <f>M13-O13</f>
        <v>-5960</v>
      </c>
      <c r="Q13" s="186">
        <f>E13+K13+O13</f>
        <v>43930</v>
      </c>
      <c r="R13" s="306">
        <v>10000</v>
      </c>
      <c r="S13" s="333">
        <v>9920</v>
      </c>
      <c r="T13" s="306">
        <f>R13-S13</f>
        <v>80</v>
      </c>
      <c r="U13" s="306">
        <v>0</v>
      </c>
      <c r="V13" s="306">
        <v>0</v>
      </c>
      <c r="W13" s="332">
        <v>77000</v>
      </c>
      <c r="X13" s="345">
        <v>10000</v>
      </c>
      <c r="Y13" s="378">
        <f>V13+X13</f>
        <v>10000</v>
      </c>
      <c r="Z13" s="391">
        <v>19840</v>
      </c>
      <c r="AA13" s="354">
        <f>Y13-Z13</f>
        <v>-9840</v>
      </c>
      <c r="AB13" s="345">
        <v>10000</v>
      </c>
      <c r="AC13" s="391">
        <v>20000</v>
      </c>
      <c r="AD13" s="354">
        <f>AB13-AC13</f>
        <v>-10000</v>
      </c>
      <c r="AE13" s="359">
        <f>S13+Z13+AC13</f>
        <v>49760</v>
      </c>
      <c r="AF13" s="345">
        <v>10000</v>
      </c>
      <c r="AG13" s="391">
        <v>16840</v>
      </c>
      <c r="AH13" s="354">
        <f>AF13-AG13</f>
        <v>-6840</v>
      </c>
      <c r="AI13" s="345">
        <v>10000</v>
      </c>
      <c r="AJ13" s="391">
        <v>14800</v>
      </c>
      <c r="AK13" s="354">
        <f>AI13-AJ13</f>
        <v>-4800</v>
      </c>
      <c r="AL13" s="345">
        <v>10000</v>
      </c>
      <c r="AM13" s="359">
        <f>AG13+AJ13+AL13</f>
        <v>41640</v>
      </c>
      <c r="AN13" s="344">
        <v>3000</v>
      </c>
      <c r="AO13" s="345">
        <v>10000</v>
      </c>
      <c r="AP13" s="454">
        <v>1000</v>
      </c>
      <c r="AQ13" s="458">
        <f t="shared" si="15"/>
        <v>11000</v>
      </c>
      <c r="AR13" s="345">
        <v>10000</v>
      </c>
      <c r="AS13" s="454">
        <v>1000</v>
      </c>
      <c r="AT13" s="458">
        <f t="shared" si="16"/>
        <v>11000</v>
      </c>
      <c r="AU13" s="345">
        <v>7000</v>
      </c>
      <c r="AV13" s="454">
        <f t="shared" si="13"/>
        <v>1000</v>
      </c>
      <c r="AW13" s="458">
        <f t="shared" si="17"/>
        <v>8000</v>
      </c>
      <c r="AX13" s="359">
        <f t="shared" si="14"/>
        <v>30000</v>
      </c>
      <c r="AY13" s="133">
        <f>Q13+AE13+AM13+AX13</f>
        <v>165330</v>
      </c>
      <c r="AZ13" s="90">
        <f>Q13+AE13+AG13+AJ13</f>
        <v>125330</v>
      </c>
      <c r="BA13" s="265"/>
    </row>
    <row r="14" spans="1:53" s="7" customFormat="1" ht="21" customHeight="1" thickBot="1">
      <c r="A14" s="128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21" ref="G14:M14">SUM(G13:G13)</f>
        <v>0</v>
      </c>
      <c r="H14" s="50">
        <f t="shared" si="21"/>
        <v>10000</v>
      </c>
      <c r="I14" s="50">
        <f t="shared" si="21"/>
        <v>0</v>
      </c>
      <c r="J14" s="50">
        <f t="shared" si="21"/>
        <v>10000</v>
      </c>
      <c r="K14" s="50">
        <f t="shared" si="21"/>
        <v>15600</v>
      </c>
      <c r="L14" s="50">
        <f t="shared" si="21"/>
        <v>-5600</v>
      </c>
      <c r="M14" s="50">
        <f t="shared" si="21"/>
        <v>10000</v>
      </c>
      <c r="N14" s="50"/>
      <c r="O14" s="50">
        <f>SUM(O13:O13)</f>
        <v>15960</v>
      </c>
      <c r="P14" s="50">
        <v>0</v>
      </c>
      <c r="Q14" s="187">
        <f aca="true" t="shared" si="22" ref="Q14:Z14">SUM(Q13:Q13)</f>
        <v>43930</v>
      </c>
      <c r="R14" s="187">
        <f t="shared" si="22"/>
        <v>10000</v>
      </c>
      <c r="S14" s="187">
        <f t="shared" si="22"/>
        <v>9920</v>
      </c>
      <c r="T14" s="187">
        <f t="shared" si="22"/>
        <v>80</v>
      </c>
      <c r="U14" s="50">
        <f t="shared" si="22"/>
        <v>0</v>
      </c>
      <c r="V14" s="50">
        <f t="shared" si="22"/>
        <v>0</v>
      </c>
      <c r="W14" s="50">
        <f t="shared" si="22"/>
        <v>77000</v>
      </c>
      <c r="X14" s="50">
        <f t="shared" si="22"/>
        <v>10000</v>
      </c>
      <c r="Y14" s="50">
        <f t="shared" si="22"/>
        <v>10000</v>
      </c>
      <c r="Z14" s="50">
        <f t="shared" si="22"/>
        <v>19840</v>
      </c>
      <c r="AA14" s="50">
        <v>0</v>
      </c>
      <c r="AB14" s="50">
        <f>SUM(AB13:AB13)</f>
        <v>10000</v>
      </c>
      <c r="AC14" s="50">
        <f>SUM(AC13:AC13)</f>
        <v>20000</v>
      </c>
      <c r="AD14" s="50"/>
      <c r="AE14" s="50">
        <f>SUM(AE13:AE13)</f>
        <v>49760</v>
      </c>
      <c r="AF14" s="50">
        <f>SUM(AF13:AF13)</f>
        <v>10000</v>
      </c>
      <c r="AG14" s="50">
        <f>SUM(AG13:AG13)</f>
        <v>16840</v>
      </c>
      <c r="AH14" s="50">
        <v>0</v>
      </c>
      <c r="AI14" s="50">
        <f>SUM(AI13:AI13)</f>
        <v>10000</v>
      </c>
      <c r="AJ14" s="50">
        <f>SUM(AJ13:AJ13)</f>
        <v>14800</v>
      </c>
      <c r="AK14" s="50">
        <v>0</v>
      </c>
      <c r="AL14" s="50">
        <f aca="true" t="shared" si="23" ref="AL14:BA14">SUM(AL13:AL13)</f>
        <v>10000</v>
      </c>
      <c r="AM14" s="50">
        <f t="shared" si="23"/>
        <v>41640</v>
      </c>
      <c r="AN14" s="50">
        <f t="shared" si="23"/>
        <v>3000</v>
      </c>
      <c r="AO14" s="50">
        <f t="shared" si="23"/>
        <v>10000</v>
      </c>
      <c r="AP14" s="50">
        <f aca="true" t="shared" si="24" ref="AP14:AW14">SUM(AP13:AP13)</f>
        <v>1000</v>
      </c>
      <c r="AQ14" s="50">
        <f t="shared" si="24"/>
        <v>11000</v>
      </c>
      <c r="AR14" s="50">
        <f t="shared" si="24"/>
        <v>10000</v>
      </c>
      <c r="AS14" s="50">
        <f t="shared" si="24"/>
        <v>1000</v>
      </c>
      <c r="AT14" s="50">
        <f t="shared" si="24"/>
        <v>11000</v>
      </c>
      <c r="AU14" s="50">
        <f t="shared" si="24"/>
        <v>7000</v>
      </c>
      <c r="AV14" s="50">
        <f t="shared" si="24"/>
        <v>1000</v>
      </c>
      <c r="AW14" s="50">
        <f t="shared" si="24"/>
        <v>8000</v>
      </c>
      <c r="AX14" s="50">
        <f t="shared" si="23"/>
        <v>30000</v>
      </c>
      <c r="AY14" s="50">
        <f t="shared" si="23"/>
        <v>165330</v>
      </c>
      <c r="AZ14" s="50">
        <f t="shared" si="23"/>
        <v>125330</v>
      </c>
      <c r="BA14" s="50">
        <f t="shared" si="23"/>
        <v>0</v>
      </c>
    </row>
    <row r="15" spans="1:53" s="168" customFormat="1" ht="28.5" customHeight="1" thickBot="1">
      <c r="A15" s="166"/>
      <c r="B15" s="167" t="s">
        <v>4</v>
      </c>
      <c r="C15" s="43">
        <v>3643654.47</v>
      </c>
      <c r="D15" s="43">
        <f aca="true" t="shared" si="25" ref="D15:M15">D12+D14</f>
        <v>311450.93</v>
      </c>
      <c r="E15" s="43">
        <f t="shared" si="25"/>
        <v>346131.38999999996</v>
      </c>
      <c r="F15" s="35">
        <f t="shared" si="25"/>
        <v>5477.889999999999</v>
      </c>
      <c r="G15" s="43">
        <f t="shared" si="25"/>
        <v>205261.1030769231</v>
      </c>
      <c r="H15" s="43">
        <f t="shared" si="25"/>
        <v>282549.07</v>
      </c>
      <c r="I15" s="35">
        <f t="shared" si="25"/>
        <v>5477.89</v>
      </c>
      <c r="J15" s="43">
        <f t="shared" si="25"/>
        <v>299870.7</v>
      </c>
      <c r="K15" s="43">
        <f t="shared" si="25"/>
        <v>357557.91000000003</v>
      </c>
      <c r="L15" s="267">
        <f t="shared" si="25"/>
        <v>-57687.210000000014</v>
      </c>
      <c r="M15" s="43">
        <f t="shared" si="25"/>
        <v>288556.69</v>
      </c>
      <c r="N15" s="43"/>
      <c r="O15" s="43">
        <f aca="true" t="shared" si="26" ref="O15:BA15">O12+O14</f>
        <v>391776.66000000003</v>
      </c>
      <c r="P15" s="140">
        <f t="shared" si="26"/>
        <v>1.7300000000032014</v>
      </c>
      <c r="Q15" s="228">
        <f t="shared" si="26"/>
        <v>1095465.96</v>
      </c>
      <c r="R15" s="106">
        <f t="shared" si="26"/>
        <v>318855.64999999997</v>
      </c>
      <c r="S15" s="106">
        <f t="shared" si="26"/>
        <v>336623.68</v>
      </c>
      <c r="T15" s="140">
        <f t="shared" si="26"/>
        <v>1062.2099999999991</v>
      </c>
      <c r="U15" s="43">
        <f t="shared" si="26"/>
        <v>268091.919375</v>
      </c>
      <c r="V15" s="376">
        <f t="shared" si="26"/>
        <v>1063.9400000000023</v>
      </c>
      <c r="W15" s="43">
        <f t="shared" si="26"/>
        <v>1923600</v>
      </c>
      <c r="X15" s="43">
        <f t="shared" si="26"/>
        <v>274743.92</v>
      </c>
      <c r="Y15" s="43">
        <f t="shared" si="26"/>
        <v>297118.02</v>
      </c>
      <c r="Z15" s="43">
        <f t="shared" si="26"/>
        <v>387383.43999999994</v>
      </c>
      <c r="AA15" s="267">
        <f t="shared" si="26"/>
        <v>0</v>
      </c>
      <c r="AB15" s="43">
        <f t="shared" si="26"/>
        <v>315160.01</v>
      </c>
      <c r="AC15" s="43">
        <f t="shared" si="26"/>
        <v>393240.57</v>
      </c>
      <c r="AD15" s="140">
        <f t="shared" si="26"/>
        <v>1.2000000000043656</v>
      </c>
      <c r="AE15" s="228">
        <f t="shared" si="26"/>
        <v>1117247.69</v>
      </c>
      <c r="AF15" s="43">
        <f t="shared" si="26"/>
        <v>315057.8</v>
      </c>
      <c r="AG15" s="43">
        <f t="shared" si="26"/>
        <v>387906.53</v>
      </c>
      <c r="AH15" s="140">
        <f t="shared" si="26"/>
        <v>0</v>
      </c>
      <c r="AI15" s="43">
        <f t="shared" si="26"/>
        <v>310421.67</v>
      </c>
      <c r="AJ15" s="43">
        <f t="shared" si="26"/>
        <v>379198.16000000003</v>
      </c>
      <c r="AK15" s="140">
        <f t="shared" si="26"/>
        <v>105.59000000000378</v>
      </c>
      <c r="AL15" s="43">
        <f t="shared" si="26"/>
        <v>231390.36000000002</v>
      </c>
      <c r="AM15" s="43">
        <f t="shared" si="26"/>
        <v>998495.0499999999</v>
      </c>
      <c r="AN15" s="43">
        <f t="shared" si="26"/>
        <v>445800</v>
      </c>
      <c r="AO15" s="43">
        <f t="shared" si="26"/>
        <v>290000</v>
      </c>
      <c r="AP15" s="43">
        <f aca="true" t="shared" si="27" ref="AP15:AW15">AP12+AP14</f>
        <v>66000</v>
      </c>
      <c r="AQ15" s="43">
        <f t="shared" si="27"/>
        <v>356000</v>
      </c>
      <c r="AR15" s="43">
        <f t="shared" si="27"/>
        <v>136260</v>
      </c>
      <c r="AS15" s="43">
        <f t="shared" si="27"/>
        <v>188095</v>
      </c>
      <c r="AT15" s="43">
        <f t="shared" si="27"/>
        <v>324355</v>
      </c>
      <c r="AU15" s="43">
        <f t="shared" si="27"/>
        <v>7000</v>
      </c>
      <c r="AV15" s="43">
        <f t="shared" si="27"/>
        <v>191705</v>
      </c>
      <c r="AW15" s="43">
        <f t="shared" si="27"/>
        <v>198705</v>
      </c>
      <c r="AX15" s="43">
        <f t="shared" si="26"/>
        <v>879060</v>
      </c>
      <c r="AY15" s="43">
        <f t="shared" si="26"/>
        <v>4090268.6999999997</v>
      </c>
      <c r="AZ15" s="43">
        <f t="shared" si="26"/>
        <v>2979818.3400000003</v>
      </c>
      <c r="BA15" s="228">
        <f t="shared" si="26"/>
        <v>0</v>
      </c>
    </row>
    <row r="16" spans="1:52" s="42" customFormat="1" ht="25.5" customHeight="1" thickBot="1">
      <c r="A16" s="29"/>
      <c r="B16" s="40"/>
      <c r="C16" s="179"/>
      <c r="D16" s="245" t="s">
        <v>64</v>
      </c>
      <c r="E16" s="196">
        <f>-(F5+F7+F8+F10+F13)</f>
        <v>40158.35</v>
      </c>
      <c r="F16" s="276"/>
      <c r="G16" s="277">
        <f>F15*100/G15</f>
        <v>2.6687423568736843</v>
      </c>
      <c r="H16" s="31"/>
      <c r="I16" s="31"/>
      <c r="J16" s="553" t="s">
        <v>73</v>
      </c>
      <c r="K16" s="554"/>
      <c r="L16" s="275">
        <f>-L15</f>
        <v>57687.210000000014</v>
      </c>
      <c r="M16" s="269"/>
      <c r="N16" s="269"/>
      <c r="O16" s="270"/>
      <c r="P16" s="325">
        <f>-(P6+P7+P8+P9+P10+P11+P13)</f>
        <v>103221.70000000003</v>
      </c>
      <c r="Q16" s="144"/>
      <c r="R16" s="558" t="s">
        <v>73</v>
      </c>
      <c r="S16" s="587"/>
      <c r="T16" s="351">
        <f>-(T5+T8+T9+T10+T11)</f>
        <v>18830.23999999999</v>
      </c>
      <c r="U16" s="374" t="s">
        <v>124</v>
      </c>
      <c r="V16" s="375">
        <f>S17*100/U15</f>
        <v>0.3968564224092822</v>
      </c>
      <c r="W16" s="144"/>
      <c r="X16" s="144"/>
      <c r="Y16" s="144"/>
      <c r="Z16" s="402" t="s">
        <v>64</v>
      </c>
      <c r="AA16" s="403">
        <f>-(AA15)</f>
        <v>0</v>
      </c>
      <c r="AB16" s="144"/>
      <c r="AC16" s="402" t="s">
        <v>64</v>
      </c>
      <c r="AD16" s="403">
        <f>-(AD5+AD7+AD8+AD9+AD10+AD11+AD13)</f>
        <v>78081.75999999998</v>
      </c>
      <c r="AE16" s="144"/>
      <c r="AF16" s="144"/>
      <c r="AG16" s="402" t="s">
        <v>64</v>
      </c>
      <c r="AH16" s="403">
        <f>-(AH5+AH6+AH7+AH8+AH9+AH11+AH13)</f>
        <v>72848.72999999998</v>
      </c>
      <c r="AI16" s="144"/>
      <c r="AJ16" s="402" t="s">
        <v>64</v>
      </c>
      <c r="AK16" s="403">
        <f>-(AK5+AK7+AK8+AK9+AK11+AK13)-83.06</f>
        <v>68799.02000000002</v>
      </c>
      <c r="AL16" s="431" t="s">
        <v>147</v>
      </c>
      <c r="AM16" s="432"/>
      <c r="AN16" s="432"/>
      <c r="AO16" s="433">
        <v>83.06</v>
      </c>
      <c r="AP16" s="456"/>
      <c r="AQ16" s="456"/>
      <c r="AR16" s="144"/>
      <c r="AS16" s="144"/>
      <c r="AT16" s="144"/>
      <c r="AU16" s="144"/>
      <c r="AV16" s="144"/>
      <c r="AW16" s="144"/>
      <c r="AX16" s="144"/>
      <c r="AY16" s="272"/>
      <c r="AZ16" s="230"/>
    </row>
    <row r="17" spans="1:100" s="42" customFormat="1" ht="18.75" customHeight="1" thickBot="1">
      <c r="A17" s="29"/>
      <c r="B17" s="40"/>
      <c r="C17" s="66"/>
      <c r="D17" s="31"/>
      <c r="E17" s="41"/>
      <c r="F17" s="31"/>
      <c r="G17" s="31"/>
      <c r="H17" s="31"/>
      <c r="I17" s="31"/>
      <c r="J17" s="555"/>
      <c r="K17" s="555"/>
      <c r="L17" s="31"/>
      <c r="M17" s="31"/>
      <c r="N17" s="31"/>
      <c r="O17" s="278"/>
      <c r="P17" s="31"/>
      <c r="Q17" s="581" t="s">
        <v>106</v>
      </c>
      <c r="R17" s="582"/>
      <c r="S17" s="353">
        <f>P15+T15</f>
        <v>1063.9400000000023</v>
      </c>
      <c r="AY17" s="226"/>
      <c r="AZ17" s="226"/>
      <c r="BA17" s="226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</row>
    <row r="18" spans="2:53" s="28" customFormat="1" ht="52.5" customHeight="1" thickBot="1">
      <c r="B18" s="57" t="s">
        <v>16</v>
      </c>
      <c r="C18" s="176" t="s">
        <v>51</v>
      </c>
      <c r="D18" s="18" t="s">
        <v>52</v>
      </c>
      <c r="E18" s="37" t="s">
        <v>18</v>
      </c>
      <c r="F18" s="72" t="s">
        <v>53</v>
      </c>
      <c r="G18" s="129" t="s">
        <v>33</v>
      </c>
      <c r="H18" s="18" t="s">
        <v>54</v>
      </c>
      <c r="I18" s="130" t="s">
        <v>56</v>
      </c>
      <c r="J18" s="132" t="s">
        <v>57</v>
      </c>
      <c r="K18" s="37" t="s">
        <v>19</v>
      </c>
      <c r="L18" s="72" t="s">
        <v>37</v>
      </c>
      <c r="M18" s="19" t="s">
        <v>84</v>
      </c>
      <c r="N18" s="300" t="s">
        <v>77</v>
      </c>
      <c r="O18" s="299" t="s">
        <v>32</v>
      </c>
      <c r="P18" s="72" t="s">
        <v>49</v>
      </c>
      <c r="Q18" s="185" t="s">
        <v>58</v>
      </c>
      <c r="R18" s="311" t="s">
        <v>86</v>
      </c>
      <c r="S18" s="37" t="s">
        <v>95</v>
      </c>
      <c r="T18" s="72" t="s">
        <v>96</v>
      </c>
      <c r="U18" s="372"/>
      <c r="V18" s="390" t="s">
        <v>122</v>
      </c>
      <c r="W18" s="334" t="s">
        <v>97</v>
      </c>
      <c r="X18" s="311" t="s">
        <v>88</v>
      </c>
      <c r="Y18" s="377" t="s">
        <v>123</v>
      </c>
      <c r="Z18" s="37" t="s">
        <v>127</v>
      </c>
      <c r="AA18" s="72" t="s">
        <v>128</v>
      </c>
      <c r="AB18" s="311" t="s">
        <v>89</v>
      </c>
      <c r="AC18" s="37" t="s">
        <v>132</v>
      </c>
      <c r="AD18" s="72" t="s">
        <v>133</v>
      </c>
      <c r="AE18" s="185" t="s">
        <v>87</v>
      </c>
      <c r="AF18" s="358" t="s">
        <v>99</v>
      </c>
      <c r="AG18" s="37" t="s">
        <v>136</v>
      </c>
      <c r="AH18" s="72" t="s">
        <v>137</v>
      </c>
      <c r="AI18" s="358" t="s">
        <v>98</v>
      </c>
      <c r="AJ18" s="37" t="s">
        <v>144</v>
      </c>
      <c r="AK18" s="72" t="s">
        <v>145</v>
      </c>
      <c r="AL18" s="311" t="s">
        <v>113</v>
      </c>
      <c r="AM18" s="185" t="s">
        <v>101</v>
      </c>
      <c r="AN18" s="300" t="s">
        <v>153</v>
      </c>
      <c r="AO18" s="358" t="s">
        <v>102</v>
      </c>
      <c r="AP18" s="453" t="s">
        <v>154</v>
      </c>
      <c r="AQ18" s="457" t="s">
        <v>155</v>
      </c>
      <c r="AR18" s="358" t="s">
        <v>103</v>
      </c>
      <c r="AS18" s="453" t="s">
        <v>154</v>
      </c>
      <c r="AT18" s="457" t="s">
        <v>156</v>
      </c>
      <c r="AU18" s="358" t="s">
        <v>104</v>
      </c>
      <c r="AV18" s="453" t="s">
        <v>154</v>
      </c>
      <c r="AW18" s="457" t="s">
        <v>157</v>
      </c>
      <c r="AX18" s="357" t="s">
        <v>158</v>
      </c>
      <c r="AY18" s="225" t="s">
        <v>159</v>
      </c>
      <c r="AZ18" s="219" t="s">
        <v>55</v>
      </c>
      <c r="BA18" s="96" t="s">
        <v>130</v>
      </c>
    </row>
    <row r="19" spans="2:53" s="28" customFormat="1" ht="27.75" customHeight="1" thickBot="1">
      <c r="B19" s="58" t="s">
        <v>13</v>
      </c>
      <c r="C19" s="177">
        <v>6934030.47</v>
      </c>
      <c r="D19" s="59">
        <f>D15+'IAN2022-R'!D21</f>
        <v>511471.01</v>
      </c>
      <c r="E19" s="60">
        <f>E15+'IAN2022-R'!E21</f>
        <v>603378.3899999999</v>
      </c>
      <c r="F19" s="70">
        <f>F15+'IAN2022-R'!F21</f>
        <v>10790.510000000002</v>
      </c>
      <c r="G19" s="137"/>
      <c r="H19" s="85">
        <f>H15+'IAN2022-R'!H21</f>
        <v>478528.99</v>
      </c>
      <c r="I19" s="82">
        <f>I15+'IAN2022-R'!I21</f>
        <v>10790.510000000002</v>
      </c>
      <c r="J19" s="285">
        <f>J15+'FEB2022-R'!J21</f>
        <v>503109.49</v>
      </c>
      <c r="K19" s="286">
        <f>K15+'FEB2022-R'!K21</f>
        <v>603478.91</v>
      </c>
      <c r="L19" s="287">
        <f>'FEB2022-R'!L21</f>
        <v>3103.814863649889</v>
      </c>
      <c r="M19" s="288">
        <f>M15+'MAR2022-R'!P21</f>
        <v>487743.3148636499</v>
      </c>
      <c r="N19" s="301">
        <f>M15+'MAR2022-R'!P21</f>
        <v>487743.3148636499</v>
      </c>
      <c r="O19" s="289">
        <f>O15+'MAR2022-R'!Q21</f>
        <v>759655.66</v>
      </c>
      <c r="P19" s="82">
        <f>P15+'MAR2022-R'!R21</f>
        <v>986.0518275625462</v>
      </c>
      <c r="Q19" s="291">
        <f>Q15+'IUL2022-R'!S21</f>
        <v>1966512.96</v>
      </c>
      <c r="R19" s="290">
        <f>R15+'APR2022-R'!T21</f>
        <v>520804.25</v>
      </c>
      <c r="S19" s="350">
        <f>S15+'APR2022-R'!U21</f>
        <v>529631.6799999999</v>
      </c>
      <c r="T19" s="290">
        <f>T15+'APR2022-R'!V21</f>
        <v>16602.81</v>
      </c>
      <c r="U19" s="290"/>
      <c r="V19" s="82">
        <f>V15+'APR2022-R'!X21</f>
        <v>17588.86182756255</v>
      </c>
      <c r="W19" s="301">
        <f>W15+'APR2022-R'!Y21</f>
        <v>3206000</v>
      </c>
      <c r="X19" s="290">
        <f>X15+'APR2022-R'!Z21</f>
        <v>468266.26</v>
      </c>
      <c r="Y19" s="379">
        <f>Y15+'MAI2022-R'!AA21</f>
        <v>518660.4418275626</v>
      </c>
      <c r="Z19" s="350">
        <f>Z15+'MAI2022-R'!AB21</f>
        <v>693094.44</v>
      </c>
      <c r="AA19" s="82">
        <f>'MAI2022-R'!AC21</f>
        <v>341</v>
      </c>
      <c r="AB19" s="290">
        <f>AB15+'IUL2022-R'!AD21</f>
        <v>512500.01</v>
      </c>
      <c r="AC19" s="350">
        <f>AC15+'IUL2022-R'!AE21</f>
        <v>679824.5700000001</v>
      </c>
      <c r="AD19" s="82">
        <f>AD15+'IUL2022-R'!AF21</f>
        <v>390.20000000000437</v>
      </c>
      <c r="AE19" s="370">
        <f>AE15+'IUL2022-R'!AG21</f>
        <v>1902550.69</v>
      </c>
      <c r="AF19" s="290">
        <f>AF15+'IUL2022-R'!AH21</f>
        <v>499277.8</v>
      </c>
      <c r="AG19" s="350">
        <f>AG15+'IUL2022-R'!AI21</f>
        <v>626636.53</v>
      </c>
      <c r="AH19" s="82">
        <f>AH15+'IUL2022-R'!AJ21</f>
        <v>1067</v>
      </c>
      <c r="AI19" s="290">
        <f>AI15+'AUG2022-R'!AK21</f>
        <v>506538.67</v>
      </c>
      <c r="AJ19" s="350">
        <f>AJ15+'AUG2022-R'!AL21</f>
        <v>673000.16</v>
      </c>
      <c r="AK19" s="82">
        <f>AK15+'AUG2022-R'!AM21</f>
        <v>895.5900000000038</v>
      </c>
      <c r="AL19" s="290">
        <f>AL15+'AUG2022-R'!AN21</f>
        <v>426378.2</v>
      </c>
      <c r="AM19" s="370">
        <f>AM15+'IUL2022-R'!AM21</f>
        <v>1628329.89</v>
      </c>
      <c r="AN19" s="301">
        <f>AN15+'TR 4 2022-R'!AP22</f>
        <v>743000</v>
      </c>
      <c r="AO19" s="290">
        <f>AO15+'TR 4 2022-R'!AQ22</f>
        <v>487043</v>
      </c>
      <c r="AP19" s="459">
        <f>AP15+'TR 4 2022-R'!AR22</f>
        <v>111022</v>
      </c>
      <c r="AQ19" s="460">
        <f>AQ15+'TR 4 2022-R'!AS22</f>
        <v>598065</v>
      </c>
      <c r="AR19" s="290">
        <f>AR15+'TR 4 2022-R'!AT22</f>
        <v>233642.41502272003</v>
      </c>
      <c r="AS19" s="459">
        <f>AS15+'TR 4 2022-R'!AU22</f>
        <v>310450</v>
      </c>
      <c r="AT19" s="460">
        <f>AT15+'TR 4 2022-R'!AV22</f>
        <v>544092.41502272</v>
      </c>
      <c r="AU19" s="290">
        <f>AU15+'TR 4 2022-R'!AW22</f>
        <v>15314.58453192003</v>
      </c>
      <c r="AV19" s="459">
        <f>AV15+'TR 4 2022-R'!AX22</f>
        <v>321528</v>
      </c>
      <c r="AW19" s="460">
        <f>AW15+'TR 4 2022-R'!AY22</f>
        <v>336842.58453192003</v>
      </c>
      <c r="AX19" s="291">
        <f>AX15+'TR 4 2022-R'!AZ22</f>
        <v>1478999.9995546401</v>
      </c>
      <c r="AY19" s="360">
        <f>AY15+'TR 4 2022-R'!BA22</f>
        <v>7074078.53955464</v>
      </c>
      <c r="AZ19" s="361">
        <f>AZ15+'AUG2022-R'!AU21</f>
        <v>5168700.34</v>
      </c>
      <c r="BA19" s="290"/>
    </row>
    <row r="20" spans="3:52" ht="41.25" customHeight="1" thickBot="1">
      <c r="C20" s="246" t="s">
        <v>125</v>
      </c>
      <c r="D20" s="178">
        <v>82730.46999999974</v>
      </c>
      <c r="E20" s="295" t="s">
        <v>74</v>
      </c>
      <c r="F20" s="249">
        <f>E16+'IAN2022-R'!E22</f>
        <v>102697.89</v>
      </c>
      <c r="G20" s="583" t="s">
        <v>69</v>
      </c>
      <c r="H20" s="584"/>
      <c r="I20" s="584"/>
      <c r="J20" s="556" t="s">
        <v>78</v>
      </c>
      <c r="K20" s="557"/>
      <c r="L20" s="184">
        <f>L16+'FEB2022-R'!K22</f>
        <v>103473.23486364991</v>
      </c>
      <c r="N20" s="585" t="s">
        <v>91</v>
      </c>
      <c r="O20" s="586"/>
      <c r="P20" s="206">
        <f>P16+'MAR2022-R'!R22</f>
        <v>272898.39</v>
      </c>
      <c r="Q20" s="282"/>
      <c r="R20" s="585" t="s">
        <v>117</v>
      </c>
      <c r="S20" s="586"/>
      <c r="T20" s="206">
        <f>T16+'APR2022-R'!V22</f>
        <v>25430.23999999999</v>
      </c>
      <c r="U20" s="282"/>
      <c r="V20" s="282"/>
      <c r="W20" s="282"/>
      <c r="X20" s="371">
        <f>S17+'APR2022-R'!V24</f>
        <v>17588.86182756255</v>
      </c>
      <c r="Y20" s="585" t="s">
        <v>129</v>
      </c>
      <c r="Z20" s="586"/>
      <c r="AA20" s="401">
        <f>AA16+'MAI2022-R'!AB22</f>
        <v>84509.57895299152</v>
      </c>
      <c r="AB20" s="585" t="s">
        <v>135</v>
      </c>
      <c r="AC20" s="586"/>
      <c r="AD20" s="401">
        <f>AD16+'IUL2022-R'!AE22</f>
        <v>167504.75999999998</v>
      </c>
      <c r="AE20" s="282"/>
      <c r="AF20" s="282"/>
      <c r="AG20" s="585" t="s">
        <v>138</v>
      </c>
      <c r="AH20" s="586"/>
      <c r="AI20" s="401">
        <f>AH16+'IUL2022-R'!AJ22</f>
        <v>128425.72999999998</v>
      </c>
      <c r="AJ20" s="434" t="s">
        <v>146</v>
      </c>
      <c r="AK20" s="206">
        <f>AK16+'AUG2022-R'!AM22</f>
        <v>167274.02000000002</v>
      </c>
      <c r="AL20" s="435" t="s">
        <v>148</v>
      </c>
      <c r="AM20" s="436"/>
      <c r="AN20" s="436"/>
      <c r="AO20" s="437">
        <f>AO16</f>
        <v>83.06</v>
      </c>
      <c r="AP20" s="452"/>
      <c r="AQ20" s="452"/>
      <c r="AR20" s="282"/>
      <c r="AS20" s="282"/>
      <c r="AT20" s="282"/>
      <c r="AU20" s="282"/>
      <c r="AV20" s="282"/>
      <c r="AW20" s="282"/>
      <c r="AX20" s="282"/>
      <c r="AY20" s="330"/>
      <c r="AZ20" s="331"/>
    </row>
    <row r="21" spans="2:52" ht="36" customHeight="1" thickBot="1">
      <c r="B21" s="241" t="s">
        <v>79</v>
      </c>
      <c r="C21" s="242">
        <v>1485000</v>
      </c>
      <c r="D21" s="163"/>
      <c r="E21" s="198">
        <f>F20+L20</f>
        <v>206171.1248636499</v>
      </c>
      <c r="F21" s="303" t="s">
        <v>80</v>
      </c>
      <c r="G21" s="163"/>
      <c r="H21" s="163"/>
      <c r="I21" s="163"/>
      <c r="J21" s="88"/>
      <c r="K21" s="116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412" t="s">
        <v>134</v>
      </c>
      <c r="AD21" s="413">
        <f>'IUL2022-R'!AF24</f>
        <v>210.00000000000182</v>
      </c>
      <c r="AE21" s="88"/>
      <c r="AF21" s="88"/>
      <c r="AG21" s="88"/>
      <c r="AH21" s="88"/>
      <c r="AI21" s="88">
        <f>AI20-82730</f>
        <v>45695.72999999998</v>
      </c>
      <c r="AJ21" s="88"/>
      <c r="AK21" s="438"/>
      <c r="AL21" s="439">
        <f>AK20+AO20</f>
        <v>167357.08000000002</v>
      </c>
      <c r="AM21" s="88"/>
      <c r="AN21" s="88"/>
      <c r="AO21" s="88"/>
      <c r="AP21" s="88"/>
      <c r="AQ21" s="88"/>
      <c r="AR21" s="450" t="s">
        <v>151</v>
      </c>
      <c r="AS21" s="450"/>
      <c r="AT21" s="450"/>
      <c r="AU21" s="450"/>
      <c r="AV21" s="450"/>
      <c r="AW21" s="450"/>
      <c r="AX21" s="450">
        <v>743000</v>
      </c>
      <c r="AY21" s="279" t="s">
        <v>70</v>
      </c>
      <c r="AZ21" s="234">
        <f>AY19-7159300</f>
        <v>-85221.46044536028</v>
      </c>
    </row>
    <row r="22" spans="2:52" ht="25.5" customHeight="1" hidden="1" thickBot="1">
      <c r="B22" s="154"/>
      <c r="C22" s="155">
        <v>466000</v>
      </c>
      <c r="D22" s="164"/>
      <c r="E22" s="262"/>
      <c r="F22" s="164"/>
      <c r="G22" s="164"/>
      <c r="H22" s="164"/>
      <c r="I22" s="164"/>
      <c r="J22" s="280" t="s">
        <v>41</v>
      </c>
      <c r="K22" s="281" t="e">
        <f>L16+#REF!</f>
        <v>#REF!</v>
      </c>
      <c r="L22" s="164"/>
      <c r="M22" s="164"/>
      <c r="N22" s="164"/>
      <c r="O22" s="164"/>
      <c r="P22" s="164"/>
      <c r="Q22" s="159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233" t="e">
        <f>#REF!</f>
        <v>#REF!</v>
      </c>
      <c r="AZ22" s="41" t="e">
        <f>AZ21-#REF!</f>
        <v>#REF!</v>
      </c>
    </row>
    <row r="23" spans="2:52" ht="25.5" customHeight="1" hidden="1" thickBot="1">
      <c r="B23" s="157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 t="s">
        <v>42</v>
      </c>
      <c r="N23" s="158"/>
      <c r="O23" s="158"/>
      <c r="P23" s="158"/>
      <c r="Q23" s="161" t="e">
        <f>C21+Q21-K22</f>
        <v>#REF!</v>
      </c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232">
        <v>667000</v>
      </c>
      <c r="AZ23" s="211"/>
    </row>
    <row r="24" spans="2:52" ht="25.5" customHeight="1" hidden="1" thickBot="1">
      <c r="B24" s="188"/>
      <c r="C24" s="199">
        <v>3070000</v>
      </c>
      <c r="D24" s="162"/>
      <c r="E24" s="209">
        <v>3186320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5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116" t="e">
        <f>AY22-AY23</f>
        <v>#REF!</v>
      </c>
      <c r="AZ24" s="36"/>
    </row>
    <row r="25" spans="2:52" ht="19.5" customHeight="1" hidden="1" thickBot="1">
      <c r="B25" s="188"/>
      <c r="C25" s="214">
        <v>72293.07</v>
      </c>
      <c r="D25" s="215"/>
      <c r="E25" s="215">
        <v>3323950</v>
      </c>
      <c r="Q25" s="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116"/>
      <c r="AZ25" s="36"/>
    </row>
    <row r="26" spans="2:52" ht="25.5" customHeight="1" hidden="1" thickBot="1">
      <c r="B26" s="217"/>
      <c r="C26" s="218">
        <v>3982180</v>
      </c>
      <c r="Q26" s="152">
        <v>3982180</v>
      </c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210"/>
      <c r="AZ26" s="212"/>
    </row>
    <row r="27" spans="2:52" ht="24" customHeight="1" thickBot="1">
      <c r="B27" s="188"/>
      <c r="C27" s="220"/>
      <c r="D27" s="221"/>
      <c r="E27" s="222"/>
      <c r="AR27" s="420"/>
      <c r="AS27" s="451"/>
      <c r="AT27" s="451"/>
      <c r="AU27" s="451"/>
      <c r="AV27" s="451"/>
      <c r="AW27" s="451"/>
      <c r="AX27" s="455"/>
      <c r="AY27" s="446" t="s">
        <v>131</v>
      </c>
      <c r="AZ27" s="447">
        <f>AA19+AD19+AH19+AK19</f>
        <v>2693.790000000008</v>
      </c>
    </row>
    <row r="28" spans="2:51" ht="25.5" customHeight="1" thickBot="1">
      <c r="B28" s="223" t="s">
        <v>60</v>
      </c>
      <c r="C28" s="244" t="s">
        <v>149</v>
      </c>
      <c r="D28" s="247" t="s">
        <v>118</v>
      </c>
      <c r="E28" s="183"/>
      <c r="F28" s="302"/>
      <c r="G28" s="302"/>
      <c r="H28" s="302"/>
      <c r="I28" s="302"/>
      <c r="J28" s="302"/>
      <c r="K28" s="302"/>
      <c r="L28" s="302"/>
      <c r="M28" s="302"/>
      <c r="N28" s="216"/>
      <c r="O28" s="216"/>
      <c r="P28" s="216"/>
      <c r="Q28" s="243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89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478">
        <v>44844</v>
      </c>
    </row>
    <row r="29" spans="2:35" ht="25.5" customHeight="1" thickBot="1">
      <c r="B29" s="326" t="s">
        <v>92</v>
      </c>
      <c r="C29" s="327" t="s">
        <v>93</v>
      </c>
      <c r="D29" s="2" t="s">
        <v>120</v>
      </c>
      <c r="AF29" s="420"/>
      <c r="AG29" s="421"/>
      <c r="AH29" s="552"/>
      <c r="AI29" s="552"/>
    </row>
    <row r="30" spans="2:5" ht="22.5" customHeight="1" thickBot="1">
      <c r="B30" s="328" t="s">
        <v>94</v>
      </c>
      <c r="C30" s="329">
        <f>1773.9+500</f>
        <v>2273.9</v>
      </c>
      <c r="E30" s="26">
        <f>E19+K19+N19</f>
        <v>1694600.6148636497</v>
      </c>
    </row>
  </sheetData>
  <sheetProtection/>
  <mergeCells count="12">
    <mergeCell ref="AG20:AH20"/>
    <mergeCell ref="AB20:AC20"/>
    <mergeCell ref="G20:I20"/>
    <mergeCell ref="N20:O20"/>
    <mergeCell ref="AH29:AI29"/>
    <mergeCell ref="J16:K16"/>
    <mergeCell ref="J17:K17"/>
    <mergeCell ref="J20:K20"/>
    <mergeCell ref="Y20:Z20"/>
    <mergeCell ref="R16:S16"/>
    <mergeCell ref="R20:S20"/>
    <mergeCell ref="Q17:R17"/>
  </mergeCells>
  <printOptions/>
  <pageMargins left="0.17" right="0.17" top="0.48" bottom="0.21" header="0.68" footer="0.17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69"/>
  <sheetViews>
    <sheetView workbookViewId="0" topLeftCell="B4">
      <pane xSplit="6675" ySplit="1530" topLeftCell="S10" activePane="bottomRight" state="split"/>
      <selection pane="topLeft" activeCell="AT4" sqref="AT1:AT16384"/>
      <selection pane="topRight" activeCell="AA4" sqref="AA1:AA16384"/>
      <selection pane="bottomLeft" activeCell="S21" sqref="S21"/>
      <selection pane="bottomRight" activeCell="AF21" sqref="AF21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9.75390625" style="69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9" hidden="1" customWidth="1"/>
    <col min="11" max="11" width="8.875" style="21" hidden="1" customWidth="1"/>
    <col min="12" max="13" width="9.25390625" style="67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7" hidden="1" customWidth="1"/>
    <col min="18" max="18" width="9.125" style="67" hidden="1" customWidth="1"/>
    <col min="19" max="19" width="9.00390625" style="8" customWidth="1"/>
    <col min="20" max="20" width="8.625" style="313" hidden="1" customWidth="1"/>
    <col min="21" max="21" width="8.625" style="313" customWidth="1"/>
    <col min="22" max="24" width="8.625" style="313" hidden="1" customWidth="1"/>
    <col min="25" max="25" width="8.625" style="313" customWidth="1"/>
    <col min="26" max="26" width="7.50390625" style="313" hidden="1" customWidth="1"/>
    <col min="27" max="27" width="8.375" style="313" hidden="1" customWidth="1"/>
    <col min="28" max="28" width="8.375" style="313" customWidth="1"/>
    <col min="29" max="29" width="8.875" style="313" customWidth="1"/>
    <col min="30" max="30" width="7.50390625" style="313" hidden="1" customWidth="1"/>
    <col min="31" max="31" width="8.375" style="313" customWidth="1"/>
    <col min="32" max="32" width="8.50390625" style="313" customWidth="1"/>
    <col min="33" max="33" width="9.50390625" style="313" hidden="1" customWidth="1"/>
    <col min="34" max="34" width="8.375" style="313" hidden="1" customWidth="1"/>
    <col min="35" max="36" width="8.875" style="313" customWidth="1"/>
    <col min="37" max="37" width="7.75390625" style="313" hidden="1" customWidth="1"/>
    <col min="38" max="39" width="8.375" style="313" customWidth="1"/>
    <col min="40" max="40" width="7.75390625" style="313" bestFit="1" customWidth="1"/>
    <col min="41" max="41" width="8.75390625" style="313" hidden="1" customWidth="1"/>
    <col min="42" max="43" width="7.75390625" style="313" bestFit="1" customWidth="1"/>
    <col min="44" max="44" width="6.875" style="313" bestFit="1" customWidth="1"/>
    <col min="45" max="45" width="8.625" style="313" bestFit="1" customWidth="1"/>
    <col min="46" max="46" width="10.125" style="26" bestFit="1" customWidth="1"/>
    <col min="47" max="47" width="11.00390625" style="2" customWidth="1"/>
    <col min="48" max="48" width="9.25390625" style="1" hidden="1" customWidth="1"/>
    <col min="49" max="49" width="11.25390625" style="1" customWidth="1"/>
    <col min="50" max="16384" width="9.00390625" style="1" customWidth="1"/>
  </cols>
  <sheetData>
    <row r="1" spans="1:47" s="3" customFormat="1" ht="14.25" customHeight="1">
      <c r="A1" s="12" t="s">
        <v>6</v>
      </c>
      <c r="B1" s="12"/>
      <c r="C1" s="68"/>
      <c r="D1" s="13"/>
      <c r="E1" s="25"/>
      <c r="F1" s="13"/>
      <c r="G1" s="13"/>
      <c r="H1" s="20"/>
      <c r="I1" s="20"/>
      <c r="J1" s="68"/>
      <c r="K1" s="20"/>
      <c r="L1" s="73"/>
      <c r="M1" s="73"/>
      <c r="N1" s="20"/>
      <c r="O1" s="20"/>
      <c r="P1" s="20"/>
      <c r="Q1" s="73"/>
      <c r="R1" s="73"/>
      <c r="S1" s="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25"/>
      <c r="AU1" s="13"/>
    </row>
    <row r="2" ht="43.5" customHeight="1">
      <c r="A2" s="8"/>
    </row>
    <row r="3" spans="1:47" s="3" customFormat="1" ht="19.5" customHeight="1" thickBot="1">
      <c r="A3" s="12" t="s">
        <v>68</v>
      </c>
      <c r="B3" s="12"/>
      <c r="C3" s="68"/>
      <c r="D3" s="13"/>
      <c r="E3" s="25"/>
      <c r="F3" s="13"/>
      <c r="G3" s="13"/>
      <c r="H3" s="20"/>
      <c r="I3" s="20"/>
      <c r="J3" s="68"/>
      <c r="K3" s="20"/>
      <c r="L3" s="73"/>
      <c r="M3" s="73"/>
      <c r="N3" s="20"/>
      <c r="O3" s="20"/>
      <c r="P3" s="20"/>
      <c r="Q3" s="73"/>
      <c r="R3" s="73"/>
      <c r="S3" s="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25"/>
      <c r="AU3" s="13"/>
    </row>
    <row r="4" spans="1:48" s="9" customFormat="1" ht="60.75" customHeight="1" thickBot="1">
      <c r="A4" s="15" t="s">
        <v>10</v>
      </c>
      <c r="B4" s="122" t="s">
        <v>0</v>
      </c>
      <c r="C4" s="169" t="s">
        <v>51</v>
      </c>
      <c r="D4" s="18" t="s">
        <v>52</v>
      </c>
      <c r="E4" s="37" t="s">
        <v>18</v>
      </c>
      <c r="F4" s="72" t="s">
        <v>53</v>
      </c>
      <c r="G4" s="129" t="s">
        <v>33</v>
      </c>
      <c r="H4" s="18" t="s">
        <v>54</v>
      </c>
      <c r="I4" s="130" t="s">
        <v>56</v>
      </c>
      <c r="J4" s="132" t="s">
        <v>57</v>
      </c>
      <c r="K4" s="37" t="s">
        <v>19</v>
      </c>
      <c r="L4" s="72" t="s">
        <v>37</v>
      </c>
      <c r="M4" s="129" t="s">
        <v>75</v>
      </c>
      <c r="N4" s="19" t="s">
        <v>84</v>
      </c>
      <c r="O4" s="130" t="s">
        <v>76</v>
      </c>
      <c r="P4" s="132" t="s">
        <v>77</v>
      </c>
      <c r="Q4" s="37" t="s">
        <v>32</v>
      </c>
      <c r="R4" s="72" t="s">
        <v>85</v>
      </c>
      <c r="S4" s="185" t="s">
        <v>108</v>
      </c>
      <c r="T4" s="316" t="s">
        <v>86</v>
      </c>
      <c r="U4" s="355" t="s">
        <v>95</v>
      </c>
      <c r="V4" s="339" t="s">
        <v>96</v>
      </c>
      <c r="W4" s="373" t="s">
        <v>121</v>
      </c>
      <c r="X4" s="130" t="s">
        <v>122</v>
      </c>
      <c r="Y4" s="334" t="s">
        <v>97</v>
      </c>
      <c r="Z4" s="311" t="s">
        <v>109</v>
      </c>
      <c r="AA4" s="384" t="s">
        <v>123</v>
      </c>
      <c r="AB4" s="37" t="s">
        <v>127</v>
      </c>
      <c r="AC4" s="72" t="s">
        <v>128</v>
      </c>
      <c r="AD4" s="320" t="s">
        <v>110</v>
      </c>
      <c r="AE4" s="409" t="s">
        <v>132</v>
      </c>
      <c r="AF4" s="408" t="s">
        <v>133</v>
      </c>
      <c r="AG4" s="185" t="s">
        <v>140</v>
      </c>
      <c r="AH4" s="311" t="s">
        <v>111</v>
      </c>
      <c r="AI4" s="37" t="s">
        <v>136</v>
      </c>
      <c r="AJ4" s="72" t="s">
        <v>143</v>
      </c>
      <c r="AK4" s="311" t="s">
        <v>112</v>
      </c>
      <c r="AL4" s="37" t="s">
        <v>144</v>
      </c>
      <c r="AM4" s="440" t="s">
        <v>145</v>
      </c>
      <c r="AN4" s="311" t="s">
        <v>113</v>
      </c>
      <c r="AO4" s="443" t="s">
        <v>101</v>
      </c>
      <c r="AP4" s="311" t="s">
        <v>114</v>
      </c>
      <c r="AQ4" s="311" t="s">
        <v>115</v>
      </c>
      <c r="AR4" s="343" t="s">
        <v>116</v>
      </c>
      <c r="AS4" s="185" t="s">
        <v>105</v>
      </c>
      <c r="AT4" s="225" t="s">
        <v>59</v>
      </c>
      <c r="AU4" s="219" t="s">
        <v>55</v>
      </c>
      <c r="AV4" s="96" t="s">
        <v>130</v>
      </c>
    </row>
    <row r="5" spans="1:48" s="5" customFormat="1" ht="26.25" customHeight="1">
      <c r="A5" s="4">
        <v>1</v>
      </c>
      <c r="B5" s="123" t="s">
        <v>8</v>
      </c>
      <c r="C5" s="148">
        <v>996655</v>
      </c>
      <c r="D5" s="32">
        <v>101336.55</v>
      </c>
      <c r="E5" s="250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80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98">
        <f>N5+O5</f>
        <v>101056.36</v>
      </c>
      <c r="Q5" s="45">
        <v>101051</v>
      </c>
      <c r="R5" s="32">
        <f>P5-Q5</f>
        <v>5.360000000000582</v>
      </c>
      <c r="S5" s="78">
        <f>E5+K5+Q5</f>
        <v>299308</v>
      </c>
      <c r="T5" s="314">
        <v>102077.13</v>
      </c>
      <c r="U5" s="336">
        <v>90559</v>
      </c>
      <c r="V5" s="314">
        <f>T5-U5</f>
        <v>11518.130000000005</v>
      </c>
      <c r="W5" s="321">
        <v>0</v>
      </c>
      <c r="X5" s="314">
        <v>0</v>
      </c>
      <c r="Y5" s="340">
        <v>613719.81</v>
      </c>
      <c r="Z5" s="362">
        <v>99000</v>
      </c>
      <c r="AA5" s="392">
        <f>X5+Z5</f>
        <v>99000</v>
      </c>
      <c r="AB5" s="398">
        <v>98999</v>
      </c>
      <c r="AC5" s="399">
        <f>AA5-AB5</f>
        <v>1</v>
      </c>
      <c r="AD5" s="363">
        <v>99000</v>
      </c>
      <c r="AE5" s="407">
        <v>98996</v>
      </c>
      <c r="AF5" s="363">
        <f>AD5-AE5</f>
        <v>4</v>
      </c>
      <c r="AG5" s="78">
        <f>U5+AB5+AE5</f>
        <v>288554</v>
      </c>
      <c r="AH5" s="362">
        <v>99000</v>
      </c>
      <c r="AI5" s="407">
        <v>98993</v>
      </c>
      <c r="AJ5" s="362">
        <f>AH5-AI5</f>
        <v>7</v>
      </c>
      <c r="AK5" s="362">
        <v>99000</v>
      </c>
      <c r="AL5" s="427">
        <v>99000</v>
      </c>
      <c r="AM5" s="424">
        <f>AK5-AL5</f>
        <v>0</v>
      </c>
      <c r="AN5" s="362">
        <v>99000</v>
      </c>
      <c r="AO5" s="444">
        <f>AI5+AL5+AN5</f>
        <v>296993</v>
      </c>
      <c r="AP5" s="362">
        <v>99000</v>
      </c>
      <c r="AQ5" s="362">
        <v>19719.81300700002</v>
      </c>
      <c r="AR5" s="363">
        <v>0</v>
      </c>
      <c r="AS5" s="78">
        <f>AP5+AQ5+AR5</f>
        <v>118719.81300700002</v>
      </c>
      <c r="AT5" s="415">
        <f>S5+AG5+AO5+AS5</f>
        <v>1003574.813007</v>
      </c>
      <c r="AU5" s="148">
        <f>S5+AG5+AI5+AL5</f>
        <v>785855</v>
      </c>
      <c r="AV5" s="86"/>
    </row>
    <row r="6" spans="1:48" s="5" customFormat="1" ht="26.25" customHeight="1">
      <c r="A6" s="4">
        <v>2</v>
      </c>
      <c r="B6" s="124" t="s">
        <v>9</v>
      </c>
      <c r="C6" s="149">
        <v>611213</v>
      </c>
      <c r="D6" s="33">
        <v>41654.46</v>
      </c>
      <c r="E6" s="251">
        <v>54334</v>
      </c>
      <c r="F6" s="204">
        <f>D6-E6</f>
        <v>-12679.54</v>
      </c>
      <c r="G6" s="32">
        <f>(C6+E6)/13</f>
        <v>51195.92307692308</v>
      </c>
      <c r="H6" s="33">
        <v>41550.79</v>
      </c>
      <c r="I6" s="32">
        <f>G6*H22/100</f>
        <v>1568.0044555596608</v>
      </c>
      <c r="J6" s="181">
        <f>H6+I6+155.21</f>
        <v>43274.00445555966</v>
      </c>
      <c r="K6" s="45">
        <v>52233</v>
      </c>
      <c r="L6" s="204">
        <f>J6-K6</f>
        <v>-8958.995544440339</v>
      </c>
      <c r="M6" s="268">
        <f>(C6+E6+K6)/14</f>
        <v>51270</v>
      </c>
      <c r="N6" s="33">
        <f>41550.79-155.21</f>
        <v>41395.58</v>
      </c>
      <c r="O6" s="268">
        <f>M6*M22/100</f>
        <v>932.8474925512335</v>
      </c>
      <c r="P6" s="298">
        <f>N6+O6</f>
        <v>42328.427492551236</v>
      </c>
      <c r="Q6" s="45">
        <v>59200</v>
      </c>
      <c r="R6" s="204">
        <f>P6-Q6</f>
        <v>-16871.572507448764</v>
      </c>
      <c r="S6" s="77">
        <f>E6+K6+Q6</f>
        <v>165767</v>
      </c>
      <c r="T6" s="315">
        <v>41970.49</v>
      </c>
      <c r="U6" s="337">
        <v>40160</v>
      </c>
      <c r="V6" s="315">
        <f>T6-U6</f>
        <v>1810.489999999998</v>
      </c>
      <c r="W6" s="265">
        <v>0</v>
      </c>
      <c r="X6" s="315">
        <v>0</v>
      </c>
      <c r="Y6" s="341">
        <v>269643.71</v>
      </c>
      <c r="Z6" s="83">
        <v>40000</v>
      </c>
      <c r="AA6" s="393">
        <f>X6+Z6+9479</f>
        <v>49479</v>
      </c>
      <c r="AB6" s="396">
        <v>55366</v>
      </c>
      <c r="AC6" s="400">
        <f>AA6-AB6</f>
        <v>-5887</v>
      </c>
      <c r="AD6" s="364">
        <f>40000-9479+11250</f>
        <v>41771</v>
      </c>
      <c r="AE6" s="79">
        <v>45419</v>
      </c>
      <c r="AF6" s="352">
        <f>AD6-AE6</f>
        <v>-3648</v>
      </c>
      <c r="AG6" s="77">
        <f>U6+AB6+AE6</f>
        <v>140945</v>
      </c>
      <c r="AH6" s="83">
        <f>40000-11250</f>
        <v>28750</v>
      </c>
      <c r="AI6" s="79">
        <v>32627</v>
      </c>
      <c r="AJ6" s="418">
        <f>AH6-AI6</f>
        <v>-3877</v>
      </c>
      <c r="AK6" s="83">
        <v>40000</v>
      </c>
      <c r="AL6" s="428">
        <v>48015</v>
      </c>
      <c r="AM6" s="441">
        <f>AK6-AL6</f>
        <v>-8015</v>
      </c>
      <c r="AN6" s="83">
        <v>40000</v>
      </c>
      <c r="AO6" s="445">
        <f>AI6+AL6+AN6</f>
        <v>120642</v>
      </c>
      <c r="AP6" s="83">
        <v>40000</v>
      </c>
      <c r="AQ6" s="83">
        <v>29643.709310200007</v>
      </c>
      <c r="AR6" s="364">
        <v>0</v>
      </c>
      <c r="AS6" s="77">
        <f>AP6+AQ6+AR6</f>
        <v>69643.7093102</v>
      </c>
      <c r="AT6" s="416">
        <f>S6+AG6+AO6+AS6</f>
        <v>496997.7093102</v>
      </c>
      <c r="AU6" s="149">
        <f>S6+AG6+AI6+AL6</f>
        <v>387354</v>
      </c>
      <c r="AV6" s="87"/>
    </row>
    <row r="7" spans="1:48" s="5" customFormat="1" ht="24" customHeight="1">
      <c r="A7" s="4">
        <v>3</v>
      </c>
      <c r="B7" s="91" t="s">
        <v>36</v>
      </c>
      <c r="C7" s="149">
        <v>1243520</v>
      </c>
      <c r="D7" s="33">
        <f>21597.35+232.65</f>
        <v>21830</v>
      </c>
      <c r="E7" s="251">
        <v>71280</v>
      </c>
      <c r="F7" s="204">
        <f>D7-E7</f>
        <v>-49450</v>
      </c>
      <c r="G7" s="32">
        <f>(C7+E7)/13</f>
        <v>101138.46153846153</v>
      </c>
      <c r="H7" s="33">
        <f>21553-232.65</f>
        <v>21320.35</v>
      </c>
      <c r="I7" s="32">
        <f>G7*H22/100</f>
        <v>3097.6208414579914</v>
      </c>
      <c r="J7" s="181">
        <f>H7+I7</f>
        <v>24417.97084145799</v>
      </c>
      <c r="K7" s="45">
        <v>60930</v>
      </c>
      <c r="L7" s="204">
        <f>J7-K7</f>
        <v>-36512.029158542005</v>
      </c>
      <c r="M7" s="268">
        <f>(C7+E7+K7)/14</f>
        <v>98266.42857142857</v>
      </c>
      <c r="N7" s="33">
        <v>21553</v>
      </c>
      <c r="O7" s="268">
        <f>M7*M22/100</f>
        <v>1787.9381996259417</v>
      </c>
      <c r="P7" s="298">
        <f>N7+O7+29.06</f>
        <v>23369.99819962594</v>
      </c>
      <c r="Q7" s="45">
        <v>175970</v>
      </c>
      <c r="R7" s="204">
        <f>P7-Q7</f>
        <v>-152600.00180037407</v>
      </c>
      <c r="S7" s="77">
        <f>E7+K7+Q7</f>
        <v>308180</v>
      </c>
      <c r="T7" s="315">
        <f>21770.7-29.06+143.36</f>
        <v>21885</v>
      </c>
      <c r="U7" s="337">
        <v>28485</v>
      </c>
      <c r="V7" s="352">
        <f>T7-U7</f>
        <v>-6600</v>
      </c>
      <c r="W7" s="265">
        <f>(C7+S7+U7)/16</f>
        <v>98761.5625</v>
      </c>
      <c r="X7" s="315">
        <f>W7*X24/100</f>
        <v>13642.831257451353</v>
      </c>
      <c r="Y7" s="341">
        <v>140623.19</v>
      </c>
      <c r="Z7" s="83">
        <f>20000-143.36</f>
        <v>19856.64</v>
      </c>
      <c r="AA7" s="394">
        <f>X7+Z7+750.53</f>
        <v>34250.00125745135</v>
      </c>
      <c r="AB7" s="397">
        <v>112675</v>
      </c>
      <c r="AC7" s="400">
        <f>AA7-AB7</f>
        <v>-78424.99874254865</v>
      </c>
      <c r="AD7" s="364">
        <f>20000-750.53+2075.53</f>
        <v>21325</v>
      </c>
      <c r="AE7" s="79">
        <v>106925</v>
      </c>
      <c r="AF7" s="352">
        <f>AD7-AE7</f>
        <v>-85600</v>
      </c>
      <c r="AG7" s="77">
        <f>U7+AB7+AE7</f>
        <v>248085</v>
      </c>
      <c r="AH7" s="83">
        <f>20000-2075.53+160.53</f>
        <v>18085</v>
      </c>
      <c r="AI7" s="79">
        <v>68585</v>
      </c>
      <c r="AJ7" s="418">
        <f>AH7-AI7</f>
        <v>-50500</v>
      </c>
      <c r="AK7" s="83">
        <f>20000-160.53+145.53</f>
        <v>19985</v>
      </c>
      <c r="AL7" s="428">
        <v>110055</v>
      </c>
      <c r="AM7" s="441">
        <f>AK7-AL7</f>
        <v>-90070</v>
      </c>
      <c r="AN7" s="83">
        <f>20000-145.53</f>
        <v>19854.47</v>
      </c>
      <c r="AO7" s="445">
        <f aca="true" t="shared" si="0" ref="AO7:AO19">AI7+AL7+AN7</f>
        <v>198494.47</v>
      </c>
      <c r="AP7" s="83">
        <v>20623</v>
      </c>
      <c r="AQ7" s="83">
        <v>20000.19</v>
      </c>
      <c r="AR7" s="364">
        <v>0.0030900000165274832</v>
      </c>
      <c r="AS7" s="77">
        <f>AP7+AQ7+AR7</f>
        <v>40623.193090000015</v>
      </c>
      <c r="AT7" s="416">
        <f>S7+AG7+AO7+AS7</f>
        <v>795382.6630899999</v>
      </c>
      <c r="AU7" s="149">
        <f aca="true" t="shared" si="1" ref="AU7:AU19">S7+AG7+AI7+AL7</f>
        <v>734905</v>
      </c>
      <c r="AV7" s="87"/>
    </row>
    <row r="8" spans="1:48" s="5" customFormat="1" ht="26.25" customHeight="1">
      <c r="A8" s="4">
        <v>4</v>
      </c>
      <c r="B8" s="124" t="s">
        <v>7</v>
      </c>
      <c r="C8" s="149">
        <v>158383</v>
      </c>
      <c r="D8" s="33">
        <f>12001.81+1135.19</f>
        <v>13137</v>
      </c>
      <c r="E8" s="251">
        <v>13137</v>
      </c>
      <c r="F8" s="32">
        <f>D8-E8</f>
        <v>0</v>
      </c>
      <c r="G8" s="32">
        <f>(C8+E8)/13</f>
        <v>13193.846153846154</v>
      </c>
      <c r="H8" s="33">
        <f>11966.32-1135.19</f>
        <v>10831.13</v>
      </c>
      <c r="I8" s="32">
        <f>G8*H22/100</f>
        <v>404.09486364988953</v>
      </c>
      <c r="J8" s="181">
        <f>H8+I8+1121.78</f>
        <v>12357.004863649889</v>
      </c>
      <c r="K8" s="45">
        <v>12357</v>
      </c>
      <c r="L8" s="32">
        <f>J8-K8</f>
        <v>0.0048636498886480695</v>
      </c>
      <c r="M8" s="268">
        <f>(C8+E8+K8)/14</f>
        <v>13134.07142857143</v>
      </c>
      <c r="N8" s="33">
        <f>11966.32-1121.78</f>
        <v>10844.539999999999</v>
      </c>
      <c r="O8" s="268">
        <f>M8*M22/100</f>
        <v>238.97182756254446</v>
      </c>
      <c r="P8" s="298">
        <f>N8+O8</f>
        <v>11083.511827562543</v>
      </c>
      <c r="Q8" s="45">
        <v>11083</v>
      </c>
      <c r="R8" s="32">
        <f>P8-Q8</f>
        <v>0.5118275625427486</v>
      </c>
      <c r="S8" s="77">
        <f>E8+K8+Q8</f>
        <v>36577</v>
      </c>
      <c r="T8" s="315">
        <f>12087.19+1111.81</f>
        <v>13199</v>
      </c>
      <c r="U8" s="337">
        <v>13199</v>
      </c>
      <c r="V8" s="315">
        <f>T8-U8</f>
        <v>0</v>
      </c>
      <c r="W8" s="265">
        <f>(C8+S8+U8)/16</f>
        <v>13009.9375</v>
      </c>
      <c r="X8" s="315">
        <f>W8*X24/100</f>
        <v>1797.1807805540595</v>
      </c>
      <c r="Y8" s="341">
        <v>77123.49</v>
      </c>
      <c r="Z8" s="83">
        <f>12000-1111.81</f>
        <v>10888.19</v>
      </c>
      <c r="AA8" s="394">
        <f>X8+Z8+1265.63</f>
        <v>13951.000780554059</v>
      </c>
      <c r="AB8" s="397">
        <v>13951</v>
      </c>
      <c r="AC8" s="395">
        <f>AA8-AB8</f>
        <v>0.0007805540590197779</v>
      </c>
      <c r="AD8" s="364">
        <f>12000-1265.63+9.63</f>
        <v>10743.999999999998</v>
      </c>
      <c r="AE8" s="79">
        <v>10954</v>
      </c>
      <c r="AF8" s="410">
        <f>AD8-AE8</f>
        <v>-210.00000000000182</v>
      </c>
      <c r="AG8" s="77">
        <f>U8+AB8+AE8</f>
        <v>38104</v>
      </c>
      <c r="AH8" s="83">
        <f>12000-9.63+1174.63</f>
        <v>13165</v>
      </c>
      <c r="AI8" s="79">
        <v>13165</v>
      </c>
      <c r="AJ8" s="83">
        <f>AH8-AI8</f>
        <v>0</v>
      </c>
      <c r="AK8" s="83">
        <f>12000-1174.63+1086.63</f>
        <v>11912</v>
      </c>
      <c r="AL8" s="428">
        <v>11912</v>
      </c>
      <c r="AM8" s="425">
        <f>AK8-AL8</f>
        <v>0</v>
      </c>
      <c r="AN8" s="83">
        <f>12000-1086.63</f>
        <v>10913.369999999999</v>
      </c>
      <c r="AO8" s="445">
        <f t="shared" si="0"/>
        <v>35990.369999999995</v>
      </c>
      <c r="AP8" s="83">
        <v>12000</v>
      </c>
      <c r="AQ8" s="83">
        <v>5123.493752520008</v>
      </c>
      <c r="AR8" s="364">
        <v>0</v>
      </c>
      <c r="AS8" s="77">
        <f>AP8+AQ8+AR8</f>
        <v>17123.493752520008</v>
      </c>
      <c r="AT8" s="416">
        <f>S8+AG8+AO8+AS8</f>
        <v>127794.86375252</v>
      </c>
      <c r="AU8" s="149">
        <f t="shared" si="1"/>
        <v>99758</v>
      </c>
      <c r="AV8" s="87"/>
    </row>
    <row r="9" spans="1:48" s="5" customFormat="1" ht="26.25" customHeight="1">
      <c r="A9" s="4">
        <v>5</v>
      </c>
      <c r="B9" s="124" t="s">
        <v>11</v>
      </c>
      <c r="C9" s="149">
        <v>95375</v>
      </c>
      <c r="D9" s="33">
        <f>6662.76+652.24</f>
        <v>7315</v>
      </c>
      <c r="E9" s="251">
        <v>7725</v>
      </c>
      <c r="F9" s="204">
        <f>D9-E9</f>
        <v>-410</v>
      </c>
      <c r="G9" s="32">
        <f>(C9+E9)/13</f>
        <v>7930.7692307692305</v>
      </c>
      <c r="H9" s="33">
        <f>7170.08-652.24</f>
        <v>6517.84</v>
      </c>
      <c r="I9" s="32">
        <f>G9*H22/100</f>
        <v>242.8998393324604</v>
      </c>
      <c r="J9" s="181">
        <f>H9+I9+669.26</f>
        <v>7429.99983933246</v>
      </c>
      <c r="K9" s="45">
        <v>7745</v>
      </c>
      <c r="L9" s="204">
        <f>J9-K9</f>
        <v>-315.0001606675396</v>
      </c>
      <c r="M9" s="268">
        <f>(C9+E9+K9)/14</f>
        <v>7917.5</v>
      </c>
      <c r="N9" s="33">
        <f>7170.08-669.26</f>
        <v>6500.82</v>
      </c>
      <c r="O9" s="268">
        <f>M9*M22/100</f>
        <v>144.05734391016952</v>
      </c>
      <c r="P9" s="298">
        <f>N9+O9</f>
        <v>6644.87734391017</v>
      </c>
      <c r="Q9" s="45">
        <v>6850</v>
      </c>
      <c r="R9" s="204">
        <f>P9-Q9</f>
        <v>-205.12265608983034</v>
      </c>
      <c r="S9" s="77">
        <f>E9+K9+Q9</f>
        <v>22320</v>
      </c>
      <c r="T9" s="315">
        <f>7242.51+722.49</f>
        <v>7965</v>
      </c>
      <c r="U9" s="337">
        <v>7965</v>
      </c>
      <c r="V9" s="315">
        <f>T9-U9</f>
        <v>0</v>
      </c>
      <c r="W9" s="265">
        <f>(C9+S9+U9)/16</f>
        <v>7853.75</v>
      </c>
      <c r="X9" s="315">
        <f>W9*X24/100</f>
        <v>1084.9097895571324</v>
      </c>
      <c r="Y9" s="341">
        <v>46932.6</v>
      </c>
      <c r="Z9" s="83">
        <f>7000-722.49</f>
        <v>6277.51</v>
      </c>
      <c r="AA9" s="394">
        <f>X9+Z9</f>
        <v>7362.419789557132</v>
      </c>
      <c r="AB9" s="397">
        <v>7560</v>
      </c>
      <c r="AC9" s="400">
        <f>AA9-AB9</f>
        <v>-197.5802104428676</v>
      </c>
      <c r="AD9" s="364">
        <v>7000</v>
      </c>
      <c r="AE9" s="79">
        <v>7175</v>
      </c>
      <c r="AF9" s="352">
        <f>AD9-AE9</f>
        <v>-175</v>
      </c>
      <c r="AG9" s="77">
        <f>U9+AB9+AE9</f>
        <v>22700</v>
      </c>
      <c r="AH9" s="83">
        <v>7000</v>
      </c>
      <c r="AI9" s="79">
        <v>8200</v>
      </c>
      <c r="AJ9" s="418">
        <f>AH9-AI9</f>
        <v>-1200</v>
      </c>
      <c r="AK9" s="83">
        <v>7000</v>
      </c>
      <c r="AL9" s="428">
        <v>7390</v>
      </c>
      <c r="AM9" s="441">
        <f>AK9-AL9</f>
        <v>-390</v>
      </c>
      <c r="AN9" s="83">
        <v>7000</v>
      </c>
      <c r="AO9" s="445">
        <f t="shared" si="0"/>
        <v>22590</v>
      </c>
      <c r="AP9" s="83">
        <v>7000</v>
      </c>
      <c r="AQ9" s="83">
        <v>4932.596685000004</v>
      </c>
      <c r="AR9" s="364">
        <v>0</v>
      </c>
      <c r="AS9" s="77">
        <f>AP9+AQ9+AR9</f>
        <v>11932.596685000004</v>
      </c>
      <c r="AT9" s="416">
        <f>S9+AG9+AO9+AS9</f>
        <v>79542.596685</v>
      </c>
      <c r="AU9" s="149">
        <f t="shared" si="1"/>
        <v>60610</v>
      </c>
      <c r="AV9" s="87"/>
    </row>
    <row r="10" spans="1:48" s="5" customFormat="1" ht="20.25" customHeight="1">
      <c r="A10" s="4"/>
      <c r="B10" s="125" t="s">
        <v>1</v>
      </c>
      <c r="C10" s="47">
        <v>3105146</v>
      </c>
      <c r="D10" s="47">
        <f>SUM(D5:D9)</f>
        <v>185273.01</v>
      </c>
      <c r="E10" s="47">
        <f>SUM(E5:E9)</f>
        <v>243687</v>
      </c>
      <c r="F10" s="47">
        <f>F5+F8</f>
        <v>4125.550000000003</v>
      </c>
      <c r="G10" s="47">
        <f>SUM(G5:G9)</f>
        <v>173459</v>
      </c>
      <c r="H10" s="47">
        <f>SUM(H5:H9)</f>
        <v>181276.47</v>
      </c>
      <c r="I10" s="47">
        <f>SUM(I5:I9)</f>
        <v>5312.620000000002</v>
      </c>
      <c r="J10" s="47">
        <f>SUM(J5:J9)</f>
        <v>188535.34</v>
      </c>
      <c r="K10" s="47">
        <f>SUM(K5:K9)</f>
        <v>234311</v>
      </c>
      <c r="L10" s="47">
        <f>L5+L8</f>
        <v>10.36486364988923</v>
      </c>
      <c r="M10" s="47">
        <f>SUM(M5:M9)</f>
        <v>170588</v>
      </c>
      <c r="N10" s="47">
        <f>SUM(N5:N9)</f>
        <v>181350.30000000002</v>
      </c>
      <c r="O10" s="47">
        <f>SUM(O5:O9)</f>
        <v>3103.8148636498895</v>
      </c>
      <c r="P10" s="47">
        <f>SUM(P5:P9)</f>
        <v>184483.17486364988</v>
      </c>
      <c r="Q10" s="47">
        <f>SUM(Q5:Q9)</f>
        <v>354154</v>
      </c>
      <c r="R10" s="47">
        <f>R5+R8</f>
        <v>5.871827562543331</v>
      </c>
      <c r="S10" s="47">
        <f>SUM(S5:S9)</f>
        <v>832152</v>
      </c>
      <c r="T10" s="335">
        <f>SUM(T5:T9)</f>
        <v>187096.62</v>
      </c>
      <c r="U10" s="335">
        <f>SUM(U5:U9)</f>
        <v>180368</v>
      </c>
      <c r="V10" s="335">
        <f>V5+V6</f>
        <v>13328.620000000003</v>
      </c>
      <c r="W10" s="347">
        <f aca="true" t="shared" si="2" ref="W10:AB10">SUM(W5:W9)</f>
        <v>119625.25</v>
      </c>
      <c r="X10" s="347">
        <f t="shared" si="2"/>
        <v>16524.921827562546</v>
      </c>
      <c r="Y10" s="347">
        <f t="shared" si="2"/>
        <v>1148042.8</v>
      </c>
      <c r="Z10" s="347">
        <f t="shared" si="2"/>
        <v>176022.34000000003</v>
      </c>
      <c r="AA10" s="347">
        <f t="shared" si="2"/>
        <v>204042.42182756256</v>
      </c>
      <c r="AB10" s="347">
        <f t="shared" si="2"/>
        <v>288551</v>
      </c>
      <c r="AC10" s="347">
        <f>AC5</f>
        <v>1</v>
      </c>
      <c r="AD10" s="381">
        <f>SUM(AD5:AD9)</f>
        <v>179840</v>
      </c>
      <c r="AE10" s="369">
        <f>SUM(AE5:AE9)</f>
        <v>269469</v>
      </c>
      <c r="AF10" s="369">
        <f>AF5</f>
        <v>4</v>
      </c>
      <c r="AG10" s="347">
        <f>SUM(AG5:AG9)</f>
        <v>738388</v>
      </c>
      <c r="AH10" s="347">
        <f>SUM(AH5:AH9)</f>
        <v>166000</v>
      </c>
      <c r="AI10" s="347">
        <f>SUM(AI5:AI9)</f>
        <v>221570</v>
      </c>
      <c r="AJ10" s="347">
        <f>AJ5</f>
        <v>7</v>
      </c>
      <c r="AK10" s="347">
        <f aca="true" t="shared" si="3" ref="AK10:AV10">SUM(AK5:AK9)</f>
        <v>177897</v>
      </c>
      <c r="AL10" s="347">
        <f>SUM(AL5:AL9)</f>
        <v>276372</v>
      </c>
      <c r="AM10" s="347">
        <f>AM5+AM8</f>
        <v>0</v>
      </c>
      <c r="AN10" s="369">
        <f t="shared" si="3"/>
        <v>176767.84</v>
      </c>
      <c r="AO10" s="381">
        <f t="shared" si="3"/>
        <v>674709.84</v>
      </c>
      <c r="AP10" s="347">
        <f t="shared" si="3"/>
        <v>178623</v>
      </c>
      <c r="AQ10" s="347">
        <f t="shared" si="3"/>
        <v>79419.80275472003</v>
      </c>
      <c r="AR10" s="347">
        <f t="shared" si="3"/>
        <v>0.0030900000165274832</v>
      </c>
      <c r="AS10" s="369">
        <f t="shared" si="3"/>
        <v>258042.80584472005</v>
      </c>
      <c r="AT10" s="47">
        <f t="shared" si="3"/>
        <v>2503292.6458447203</v>
      </c>
      <c r="AU10" s="47">
        <f t="shared" si="3"/>
        <v>2068482</v>
      </c>
      <c r="AV10" s="47">
        <f t="shared" si="3"/>
        <v>0</v>
      </c>
    </row>
    <row r="11" spans="1:48" s="5" customFormat="1" ht="22.5" customHeight="1">
      <c r="A11" s="4">
        <v>6</v>
      </c>
      <c r="B11" s="56" t="s">
        <v>5</v>
      </c>
      <c r="C11" s="149">
        <v>2040</v>
      </c>
      <c r="D11" s="24">
        <v>0</v>
      </c>
      <c r="E11" s="101">
        <v>0</v>
      </c>
      <c r="F11" s="32">
        <f aca="true" t="shared" si="4" ref="F11:F19">D11-E11</f>
        <v>0</v>
      </c>
      <c r="G11" s="32"/>
      <c r="H11" s="24">
        <v>0</v>
      </c>
      <c r="I11" s="23"/>
      <c r="J11" s="181">
        <f aca="true" t="shared" si="5" ref="J11:J19">H11+I11</f>
        <v>0</v>
      </c>
      <c r="K11" s="45"/>
      <c r="L11" s="32">
        <f aca="true" t="shared" si="6" ref="L11:L19">J11-K11</f>
        <v>0</v>
      </c>
      <c r="M11" s="32"/>
      <c r="N11" s="33">
        <v>0</v>
      </c>
      <c r="O11" s="32"/>
      <c r="P11" s="298">
        <f aca="true" t="shared" si="7" ref="P11:P19">N11+O11</f>
        <v>0</v>
      </c>
      <c r="Q11" s="45"/>
      <c r="R11" s="32"/>
      <c r="S11" s="77">
        <f aca="true" t="shared" si="8" ref="S11:S19">E11+K11+Q11</f>
        <v>0</v>
      </c>
      <c r="T11" s="315">
        <v>0</v>
      </c>
      <c r="U11" s="337"/>
      <c r="V11" s="315">
        <f aca="true" t="shared" si="9" ref="V11:V19">T11-U11</f>
        <v>0</v>
      </c>
      <c r="W11" s="265">
        <v>0</v>
      </c>
      <c r="X11" s="315"/>
      <c r="Y11" s="341"/>
      <c r="Z11" s="83"/>
      <c r="AA11" s="393">
        <f aca="true" t="shared" si="10" ref="AA11:AA19">X11+Z11</f>
        <v>0</v>
      </c>
      <c r="AB11" s="396"/>
      <c r="AC11" s="395">
        <f aca="true" t="shared" si="11" ref="AC11:AC19">AA11-AB11</f>
        <v>0</v>
      </c>
      <c r="AD11" s="364"/>
      <c r="AE11" s="79"/>
      <c r="AF11" s="364">
        <f aca="true" t="shared" si="12" ref="AF11:AF19">AD11-AE11</f>
        <v>0</v>
      </c>
      <c r="AG11" s="77">
        <f aca="true" t="shared" si="13" ref="AG11:AG19">U11+AB11+AE11</f>
        <v>0</v>
      </c>
      <c r="AH11" s="265"/>
      <c r="AI11" s="337"/>
      <c r="AJ11" s="83">
        <f aca="true" t="shared" si="14" ref="AJ11:AJ19">AH11-AI11</f>
        <v>0</v>
      </c>
      <c r="AK11" s="265"/>
      <c r="AL11" s="429"/>
      <c r="AM11" s="426"/>
      <c r="AN11" s="265"/>
      <c r="AO11" s="445">
        <f t="shared" si="0"/>
        <v>0</v>
      </c>
      <c r="AP11" s="265"/>
      <c r="AQ11" s="265"/>
      <c r="AR11" s="315"/>
      <c r="AS11" s="77">
        <f aca="true" t="shared" si="15" ref="AS11:AS19">AP11+AQ11+AR11</f>
        <v>0</v>
      </c>
      <c r="AT11" s="416">
        <f aca="true" t="shared" si="16" ref="AT11:AT19">S11+AG11+AO11+AS11</f>
        <v>0</v>
      </c>
      <c r="AU11" s="149">
        <f t="shared" si="1"/>
        <v>0</v>
      </c>
      <c r="AV11" s="87"/>
    </row>
    <row r="12" spans="1:48" s="5" customFormat="1" ht="22.5" customHeight="1">
      <c r="A12" s="4">
        <v>7</v>
      </c>
      <c r="B12" s="56" t="s">
        <v>21</v>
      </c>
      <c r="C12" s="149">
        <v>15360</v>
      </c>
      <c r="D12" s="24">
        <v>1272.07</v>
      </c>
      <c r="E12" s="101">
        <v>1260</v>
      </c>
      <c r="F12" s="32">
        <f t="shared" si="4"/>
        <v>12.069999999999936</v>
      </c>
      <c r="G12" s="32"/>
      <c r="H12" s="24">
        <v>1268.31</v>
      </c>
      <c r="I12" s="23"/>
      <c r="J12" s="181">
        <f t="shared" si="5"/>
        <v>1268.31</v>
      </c>
      <c r="K12" s="45">
        <v>1260</v>
      </c>
      <c r="L12" s="32">
        <f t="shared" si="6"/>
        <v>8.309999999999945</v>
      </c>
      <c r="M12" s="32"/>
      <c r="N12" s="33">
        <v>1268.31</v>
      </c>
      <c r="O12" s="32"/>
      <c r="P12" s="298">
        <f t="shared" si="7"/>
        <v>1268.31</v>
      </c>
      <c r="Q12" s="45">
        <v>1260</v>
      </c>
      <c r="R12" s="32">
        <f aca="true" t="shared" si="17" ref="R12:R19">P12-Q12</f>
        <v>8.309999999999945</v>
      </c>
      <c r="S12" s="77">
        <f t="shared" si="8"/>
        <v>3780</v>
      </c>
      <c r="T12" s="315">
        <v>1281.12</v>
      </c>
      <c r="U12" s="337">
        <v>1260</v>
      </c>
      <c r="V12" s="315">
        <f t="shared" si="9"/>
        <v>21.11999999999989</v>
      </c>
      <c r="W12" s="265">
        <v>0</v>
      </c>
      <c r="X12" s="315"/>
      <c r="Y12" s="341">
        <v>8301.85</v>
      </c>
      <c r="Z12" s="83">
        <v>960</v>
      </c>
      <c r="AA12" s="393">
        <f t="shared" si="10"/>
        <v>960</v>
      </c>
      <c r="AB12" s="396">
        <v>960</v>
      </c>
      <c r="AC12" s="395">
        <f t="shared" si="11"/>
        <v>0</v>
      </c>
      <c r="AD12" s="364">
        <v>960</v>
      </c>
      <c r="AE12" s="79">
        <v>960</v>
      </c>
      <c r="AF12" s="364">
        <f t="shared" si="12"/>
        <v>0</v>
      </c>
      <c r="AG12" s="77">
        <f t="shared" si="13"/>
        <v>3180</v>
      </c>
      <c r="AH12" s="83">
        <v>1200</v>
      </c>
      <c r="AI12" s="79">
        <v>1200</v>
      </c>
      <c r="AJ12" s="83">
        <f t="shared" si="14"/>
        <v>0</v>
      </c>
      <c r="AK12" s="83">
        <v>1200</v>
      </c>
      <c r="AL12" s="428">
        <v>1200</v>
      </c>
      <c r="AM12" s="425">
        <f>AK12-AL12</f>
        <v>0</v>
      </c>
      <c r="AN12" s="83">
        <v>1200</v>
      </c>
      <c r="AO12" s="445">
        <f t="shared" si="0"/>
        <v>3600</v>
      </c>
      <c r="AP12" s="83">
        <v>1200</v>
      </c>
      <c r="AQ12" s="83">
        <v>1200</v>
      </c>
      <c r="AR12" s="364">
        <v>381.85488027999963</v>
      </c>
      <c r="AS12" s="77">
        <f t="shared" si="15"/>
        <v>2781.8548802799996</v>
      </c>
      <c r="AT12" s="416">
        <f t="shared" si="16"/>
        <v>13341.85488028</v>
      </c>
      <c r="AU12" s="149">
        <f t="shared" si="1"/>
        <v>9360</v>
      </c>
      <c r="AV12" s="87"/>
    </row>
    <row r="13" spans="1:48" s="27" customFormat="1" ht="21" customHeight="1">
      <c r="A13" s="4">
        <v>8</v>
      </c>
      <c r="B13" s="56" t="s">
        <v>22</v>
      </c>
      <c r="C13" s="149">
        <v>8160</v>
      </c>
      <c r="D13" s="24">
        <v>723.31</v>
      </c>
      <c r="E13" s="101">
        <v>720</v>
      </c>
      <c r="F13" s="32">
        <f t="shared" si="4"/>
        <v>3.3099999999999454</v>
      </c>
      <c r="G13" s="32"/>
      <c r="H13" s="24">
        <v>721.18</v>
      </c>
      <c r="I13" s="23"/>
      <c r="J13" s="181">
        <f t="shared" si="5"/>
        <v>721.18</v>
      </c>
      <c r="K13" s="45">
        <v>720</v>
      </c>
      <c r="L13" s="32">
        <f t="shared" si="6"/>
        <v>1.17999999999995</v>
      </c>
      <c r="M13" s="32"/>
      <c r="N13" s="33">
        <v>721.18</v>
      </c>
      <c r="O13" s="32"/>
      <c r="P13" s="298">
        <f t="shared" si="7"/>
        <v>721.18</v>
      </c>
      <c r="Q13" s="45">
        <v>720</v>
      </c>
      <c r="R13" s="32">
        <f t="shared" si="17"/>
        <v>1.17999999999995</v>
      </c>
      <c r="S13" s="77">
        <f t="shared" si="8"/>
        <v>2160</v>
      </c>
      <c r="T13" s="315">
        <v>728.46</v>
      </c>
      <c r="U13" s="337">
        <v>480</v>
      </c>
      <c r="V13" s="315">
        <f t="shared" si="9"/>
        <v>248.46000000000004</v>
      </c>
      <c r="W13" s="265">
        <v>0</v>
      </c>
      <c r="X13" s="315"/>
      <c r="Y13" s="341">
        <v>4720.54</v>
      </c>
      <c r="Z13" s="83">
        <v>660</v>
      </c>
      <c r="AA13" s="393">
        <f t="shared" si="10"/>
        <v>660</v>
      </c>
      <c r="AB13" s="396">
        <v>660</v>
      </c>
      <c r="AC13" s="395">
        <f t="shared" si="11"/>
        <v>0</v>
      </c>
      <c r="AD13" s="364">
        <v>660</v>
      </c>
      <c r="AE13" s="79">
        <v>660</v>
      </c>
      <c r="AF13" s="364">
        <f t="shared" si="12"/>
        <v>0</v>
      </c>
      <c r="AG13" s="77">
        <f t="shared" si="13"/>
        <v>1800</v>
      </c>
      <c r="AH13" s="83">
        <v>660</v>
      </c>
      <c r="AI13" s="79">
        <v>420</v>
      </c>
      <c r="AJ13" s="83">
        <f t="shared" si="14"/>
        <v>240</v>
      </c>
      <c r="AK13" s="83">
        <v>660</v>
      </c>
      <c r="AL13" s="428">
        <v>660</v>
      </c>
      <c r="AM13" s="425">
        <f aca="true" t="shared" si="18" ref="AM13:AM19">AK13-AL13</f>
        <v>0</v>
      </c>
      <c r="AN13" s="83">
        <v>660</v>
      </c>
      <c r="AO13" s="445">
        <f t="shared" si="0"/>
        <v>1740</v>
      </c>
      <c r="AP13" s="83">
        <v>660</v>
      </c>
      <c r="AQ13" s="83">
        <v>660</v>
      </c>
      <c r="AR13" s="364">
        <v>100.53673324000101</v>
      </c>
      <c r="AS13" s="77">
        <f t="shared" si="15"/>
        <v>1420.536733240001</v>
      </c>
      <c r="AT13" s="416">
        <f t="shared" si="16"/>
        <v>7120.536733240001</v>
      </c>
      <c r="AU13" s="149">
        <f t="shared" si="1"/>
        <v>5040</v>
      </c>
      <c r="AV13" s="87"/>
    </row>
    <row r="14" spans="1:48" s="27" customFormat="1" ht="22.5" customHeight="1">
      <c r="A14" s="4">
        <v>9</v>
      </c>
      <c r="B14" s="56" t="s">
        <v>17</v>
      </c>
      <c r="C14" s="149">
        <v>10140</v>
      </c>
      <c r="D14" s="24">
        <v>897.38</v>
      </c>
      <c r="E14" s="101">
        <v>840</v>
      </c>
      <c r="F14" s="32">
        <f t="shared" si="4"/>
        <v>57.379999999999995</v>
      </c>
      <c r="G14" s="32"/>
      <c r="H14" s="24">
        <v>894.73</v>
      </c>
      <c r="I14" s="23"/>
      <c r="J14" s="181">
        <f t="shared" si="5"/>
        <v>894.73</v>
      </c>
      <c r="K14" s="45">
        <v>840</v>
      </c>
      <c r="L14" s="32">
        <f t="shared" si="6"/>
        <v>54.73000000000002</v>
      </c>
      <c r="M14" s="32"/>
      <c r="N14" s="33">
        <v>894.73</v>
      </c>
      <c r="O14" s="32"/>
      <c r="P14" s="298">
        <f t="shared" si="7"/>
        <v>894.73</v>
      </c>
      <c r="Q14" s="45">
        <v>840</v>
      </c>
      <c r="R14" s="32">
        <f t="shared" si="17"/>
        <v>54.73000000000002</v>
      </c>
      <c r="S14" s="77">
        <f t="shared" si="8"/>
        <v>2520</v>
      </c>
      <c r="T14" s="315">
        <v>903.77</v>
      </c>
      <c r="U14" s="337">
        <v>900</v>
      </c>
      <c r="V14" s="315">
        <f t="shared" si="9"/>
        <v>3.769999999999982</v>
      </c>
      <c r="W14" s="265">
        <v>0</v>
      </c>
      <c r="X14" s="315"/>
      <c r="Y14" s="341">
        <v>5856.55</v>
      </c>
      <c r="Z14" s="83">
        <v>780</v>
      </c>
      <c r="AA14" s="393">
        <f t="shared" si="10"/>
        <v>780</v>
      </c>
      <c r="AB14" s="396">
        <v>780</v>
      </c>
      <c r="AC14" s="395">
        <f t="shared" si="11"/>
        <v>0</v>
      </c>
      <c r="AD14" s="364">
        <v>780</v>
      </c>
      <c r="AE14" s="79">
        <v>780</v>
      </c>
      <c r="AF14" s="364">
        <f t="shared" si="12"/>
        <v>0</v>
      </c>
      <c r="AG14" s="77">
        <f t="shared" si="13"/>
        <v>2460</v>
      </c>
      <c r="AH14" s="83">
        <v>780</v>
      </c>
      <c r="AI14" s="79">
        <v>780</v>
      </c>
      <c r="AJ14" s="83">
        <f t="shared" si="14"/>
        <v>0</v>
      </c>
      <c r="AK14" s="83">
        <v>780</v>
      </c>
      <c r="AL14" s="428">
        <v>720</v>
      </c>
      <c r="AM14" s="425">
        <f t="shared" si="18"/>
        <v>60</v>
      </c>
      <c r="AN14" s="83">
        <v>780</v>
      </c>
      <c r="AO14" s="445">
        <f t="shared" si="0"/>
        <v>2280</v>
      </c>
      <c r="AP14" s="83">
        <v>780</v>
      </c>
      <c r="AQ14" s="83">
        <v>780</v>
      </c>
      <c r="AR14" s="364">
        <v>396.54625300000043</v>
      </c>
      <c r="AS14" s="77">
        <f t="shared" si="15"/>
        <v>1956.5462530000004</v>
      </c>
      <c r="AT14" s="416">
        <f t="shared" si="16"/>
        <v>9216.546253</v>
      </c>
      <c r="AU14" s="149">
        <f t="shared" si="1"/>
        <v>6480</v>
      </c>
      <c r="AV14" s="87"/>
    </row>
    <row r="15" spans="1:48" s="27" customFormat="1" ht="22.5" customHeight="1">
      <c r="A15" s="4">
        <v>10</v>
      </c>
      <c r="B15" s="56" t="s">
        <v>20</v>
      </c>
      <c r="C15" s="149">
        <v>8220</v>
      </c>
      <c r="D15" s="24">
        <v>730.2</v>
      </c>
      <c r="E15" s="101">
        <v>660</v>
      </c>
      <c r="F15" s="32">
        <f t="shared" si="4"/>
        <v>70.20000000000005</v>
      </c>
      <c r="G15" s="32"/>
      <c r="H15" s="24">
        <v>728.04</v>
      </c>
      <c r="I15" s="23"/>
      <c r="J15" s="181">
        <f t="shared" si="5"/>
        <v>728.04</v>
      </c>
      <c r="K15" s="45">
        <v>720</v>
      </c>
      <c r="L15" s="32">
        <f t="shared" si="6"/>
        <v>8.039999999999964</v>
      </c>
      <c r="M15" s="32"/>
      <c r="N15" s="33">
        <v>728.04</v>
      </c>
      <c r="O15" s="32"/>
      <c r="P15" s="298">
        <f t="shared" si="7"/>
        <v>728.04</v>
      </c>
      <c r="Q15" s="45">
        <v>660</v>
      </c>
      <c r="R15" s="32">
        <f t="shared" si="17"/>
        <v>68.03999999999996</v>
      </c>
      <c r="S15" s="77">
        <f t="shared" si="8"/>
        <v>2040</v>
      </c>
      <c r="T15" s="315">
        <v>735.39</v>
      </c>
      <c r="U15" s="337">
        <v>180</v>
      </c>
      <c r="V15" s="315">
        <f t="shared" si="9"/>
        <v>555.39</v>
      </c>
      <c r="W15" s="265">
        <v>0</v>
      </c>
      <c r="X15" s="315"/>
      <c r="Y15" s="341">
        <v>4765.46</v>
      </c>
      <c r="Z15" s="83">
        <v>660</v>
      </c>
      <c r="AA15" s="393">
        <f t="shared" si="10"/>
        <v>660</v>
      </c>
      <c r="AB15" s="396">
        <v>660</v>
      </c>
      <c r="AC15" s="395">
        <f t="shared" si="11"/>
        <v>0</v>
      </c>
      <c r="AD15" s="364">
        <v>660</v>
      </c>
      <c r="AE15" s="79">
        <v>660</v>
      </c>
      <c r="AF15" s="364">
        <f t="shared" si="12"/>
        <v>0</v>
      </c>
      <c r="AG15" s="77">
        <f t="shared" si="13"/>
        <v>1500</v>
      </c>
      <c r="AH15" s="83">
        <v>660</v>
      </c>
      <c r="AI15" s="79">
        <v>660</v>
      </c>
      <c r="AJ15" s="83">
        <f t="shared" si="14"/>
        <v>0</v>
      </c>
      <c r="AK15" s="83">
        <v>660</v>
      </c>
      <c r="AL15" s="428">
        <v>660</v>
      </c>
      <c r="AM15" s="425">
        <f t="shared" si="18"/>
        <v>0</v>
      </c>
      <c r="AN15" s="83">
        <v>660</v>
      </c>
      <c r="AO15" s="445">
        <f t="shared" si="0"/>
        <v>1980</v>
      </c>
      <c r="AP15" s="83">
        <v>660</v>
      </c>
      <c r="AQ15" s="83">
        <v>660</v>
      </c>
      <c r="AR15" s="364">
        <v>145.46366339999986</v>
      </c>
      <c r="AS15" s="77">
        <f t="shared" si="15"/>
        <v>1465.4636633999999</v>
      </c>
      <c r="AT15" s="416">
        <f t="shared" si="16"/>
        <v>6985.4636634</v>
      </c>
      <c r="AU15" s="149">
        <f t="shared" si="1"/>
        <v>4860</v>
      </c>
      <c r="AV15" s="87"/>
    </row>
    <row r="16" spans="1:48" s="5" customFormat="1" ht="23.25" customHeight="1">
      <c r="A16" s="4">
        <v>11</v>
      </c>
      <c r="B16" s="56" t="s">
        <v>23</v>
      </c>
      <c r="C16" s="149">
        <v>32145</v>
      </c>
      <c r="D16" s="24">
        <v>2655.27</v>
      </c>
      <c r="E16" s="101">
        <v>2655</v>
      </c>
      <c r="F16" s="32">
        <f t="shared" si="4"/>
        <v>0.2699999999999818</v>
      </c>
      <c r="G16" s="32"/>
      <c r="H16" s="24">
        <v>2647.42</v>
      </c>
      <c r="I16" s="24"/>
      <c r="J16" s="181">
        <f t="shared" si="5"/>
        <v>2647.42</v>
      </c>
      <c r="K16" s="74">
        <v>2640</v>
      </c>
      <c r="L16" s="32">
        <f t="shared" si="6"/>
        <v>7.420000000000073</v>
      </c>
      <c r="M16" s="32"/>
      <c r="N16" s="33">
        <v>2647.42</v>
      </c>
      <c r="O16" s="32"/>
      <c r="P16" s="298">
        <f t="shared" si="7"/>
        <v>2647.42</v>
      </c>
      <c r="Q16" s="45">
        <v>2640</v>
      </c>
      <c r="R16" s="32">
        <f t="shared" si="17"/>
        <v>7.420000000000073</v>
      </c>
      <c r="S16" s="77">
        <f t="shared" si="8"/>
        <v>7935</v>
      </c>
      <c r="T16" s="315">
        <v>2674.16</v>
      </c>
      <c r="U16" s="337">
        <v>2670</v>
      </c>
      <c r="V16" s="315">
        <f t="shared" si="9"/>
        <v>4.1599999999998545</v>
      </c>
      <c r="W16" s="265">
        <v>0</v>
      </c>
      <c r="X16" s="315"/>
      <c r="Y16" s="341">
        <v>17328.96</v>
      </c>
      <c r="Z16" s="83">
        <v>2400</v>
      </c>
      <c r="AA16" s="393">
        <f t="shared" si="10"/>
        <v>2400</v>
      </c>
      <c r="AB16" s="396">
        <v>2400</v>
      </c>
      <c r="AC16" s="395">
        <f t="shared" si="11"/>
        <v>0</v>
      </c>
      <c r="AD16" s="364">
        <v>2400</v>
      </c>
      <c r="AE16" s="79">
        <v>2400</v>
      </c>
      <c r="AF16" s="364">
        <f t="shared" si="12"/>
        <v>0</v>
      </c>
      <c r="AG16" s="77">
        <f t="shared" si="13"/>
        <v>7470</v>
      </c>
      <c r="AH16" s="83">
        <v>2400</v>
      </c>
      <c r="AI16" s="79">
        <v>2400</v>
      </c>
      <c r="AJ16" s="83">
        <f t="shared" si="14"/>
        <v>0</v>
      </c>
      <c r="AK16" s="83">
        <v>2400</v>
      </c>
      <c r="AL16" s="428">
        <v>2400</v>
      </c>
      <c r="AM16" s="425">
        <f t="shared" si="18"/>
        <v>0</v>
      </c>
      <c r="AN16" s="83">
        <v>2400</v>
      </c>
      <c r="AO16" s="445">
        <f t="shared" si="0"/>
        <v>7200</v>
      </c>
      <c r="AP16" s="83">
        <v>2400</v>
      </c>
      <c r="AQ16" s="83">
        <v>2400</v>
      </c>
      <c r="AR16" s="364">
        <v>528.9587760000031</v>
      </c>
      <c r="AS16" s="77">
        <f t="shared" si="15"/>
        <v>5328.958776000003</v>
      </c>
      <c r="AT16" s="416">
        <f t="shared" si="16"/>
        <v>27933.958776000003</v>
      </c>
      <c r="AU16" s="149">
        <f t="shared" si="1"/>
        <v>20205</v>
      </c>
      <c r="AV16" s="87"/>
    </row>
    <row r="17" spans="1:48" s="27" customFormat="1" ht="22.5" customHeight="1">
      <c r="A17" s="4">
        <v>12</v>
      </c>
      <c r="B17" s="56" t="s">
        <v>14</v>
      </c>
      <c r="C17" s="149">
        <v>25740</v>
      </c>
      <c r="D17" s="24">
        <v>2311.07</v>
      </c>
      <c r="E17" s="101">
        <v>2280</v>
      </c>
      <c r="F17" s="32">
        <f t="shared" si="4"/>
        <v>31.070000000000164</v>
      </c>
      <c r="G17" s="32"/>
      <c r="H17" s="24">
        <v>2304.23</v>
      </c>
      <c r="I17" s="23"/>
      <c r="J17" s="181">
        <f t="shared" si="5"/>
        <v>2304.23</v>
      </c>
      <c r="K17" s="45">
        <v>0</v>
      </c>
      <c r="L17" s="32">
        <f t="shared" si="6"/>
        <v>2304.23</v>
      </c>
      <c r="M17" s="32"/>
      <c r="N17" s="33">
        <v>2304.23</v>
      </c>
      <c r="O17" s="32"/>
      <c r="P17" s="298">
        <f t="shared" si="7"/>
        <v>2304.23</v>
      </c>
      <c r="Q17" s="45">
        <v>2280</v>
      </c>
      <c r="R17" s="32">
        <f t="shared" si="17"/>
        <v>24.230000000000018</v>
      </c>
      <c r="S17" s="77">
        <f t="shared" si="8"/>
        <v>4560</v>
      </c>
      <c r="T17" s="315">
        <v>2327.51</v>
      </c>
      <c r="U17" s="337">
        <v>1940</v>
      </c>
      <c r="V17" s="315">
        <f t="shared" si="9"/>
        <v>387.5100000000002</v>
      </c>
      <c r="W17" s="265">
        <v>0</v>
      </c>
      <c r="X17" s="315"/>
      <c r="Y17" s="341">
        <v>15082.61</v>
      </c>
      <c r="Z17" s="83">
        <v>2220</v>
      </c>
      <c r="AA17" s="393">
        <f t="shared" si="10"/>
        <v>2220</v>
      </c>
      <c r="AB17" s="396">
        <v>2160</v>
      </c>
      <c r="AC17" s="395">
        <f t="shared" si="11"/>
        <v>60</v>
      </c>
      <c r="AD17" s="364">
        <v>2220</v>
      </c>
      <c r="AE17" s="79">
        <v>2180</v>
      </c>
      <c r="AF17" s="364">
        <f t="shared" si="12"/>
        <v>40</v>
      </c>
      <c r="AG17" s="77">
        <f t="shared" si="13"/>
        <v>6280</v>
      </c>
      <c r="AH17" s="83">
        <v>2220</v>
      </c>
      <c r="AI17" s="79">
        <v>2220</v>
      </c>
      <c r="AJ17" s="83">
        <f t="shared" si="14"/>
        <v>0</v>
      </c>
      <c r="AK17" s="83">
        <v>2220</v>
      </c>
      <c r="AL17" s="428">
        <v>2180</v>
      </c>
      <c r="AM17" s="425">
        <f t="shared" si="18"/>
        <v>40</v>
      </c>
      <c r="AN17" s="83">
        <v>2220</v>
      </c>
      <c r="AO17" s="445">
        <f t="shared" si="0"/>
        <v>6620</v>
      </c>
      <c r="AP17" s="83">
        <v>2220</v>
      </c>
      <c r="AQ17" s="83">
        <v>1762.6122680000008</v>
      </c>
      <c r="AR17" s="364">
        <v>0</v>
      </c>
      <c r="AS17" s="77">
        <f t="shared" si="15"/>
        <v>3982.6122680000008</v>
      </c>
      <c r="AT17" s="416">
        <f t="shared" si="16"/>
        <v>21442.612268</v>
      </c>
      <c r="AU17" s="149">
        <f t="shared" si="1"/>
        <v>15240</v>
      </c>
      <c r="AV17" s="87"/>
    </row>
    <row r="18" spans="1:48" s="5" customFormat="1" ht="22.5" customHeight="1">
      <c r="A18" s="4">
        <v>13</v>
      </c>
      <c r="B18" s="56" t="s">
        <v>24</v>
      </c>
      <c r="C18" s="149">
        <v>6000</v>
      </c>
      <c r="D18" s="24">
        <v>1425.98</v>
      </c>
      <c r="E18" s="101">
        <v>420</v>
      </c>
      <c r="F18" s="32">
        <f t="shared" si="4"/>
        <v>1005.98</v>
      </c>
      <c r="G18" s="32"/>
      <c r="H18" s="24">
        <v>1421.76</v>
      </c>
      <c r="I18" s="23"/>
      <c r="J18" s="181">
        <f t="shared" si="5"/>
        <v>1421.76</v>
      </c>
      <c r="K18" s="45">
        <v>720</v>
      </c>
      <c r="L18" s="32">
        <f t="shared" si="6"/>
        <v>701.76</v>
      </c>
      <c r="M18" s="32"/>
      <c r="N18" s="33">
        <v>1421.76</v>
      </c>
      <c r="O18" s="32"/>
      <c r="P18" s="298">
        <f t="shared" si="7"/>
        <v>1421.76</v>
      </c>
      <c r="Q18" s="45">
        <v>630</v>
      </c>
      <c r="R18" s="32">
        <f t="shared" si="17"/>
        <v>791.76</v>
      </c>
      <c r="S18" s="77">
        <f t="shared" si="8"/>
        <v>1770</v>
      </c>
      <c r="T18" s="315">
        <v>1436.12</v>
      </c>
      <c r="U18" s="337">
        <v>450</v>
      </c>
      <c r="V18" s="315">
        <f t="shared" si="9"/>
        <v>986.1199999999999</v>
      </c>
      <c r="W18" s="265">
        <v>0</v>
      </c>
      <c r="X18" s="315"/>
      <c r="Y18" s="341">
        <v>9306.29</v>
      </c>
      <c r="Z18" s="83">
        <v>820</v>
      </c>
      <c r="AA18" s="393">
        <f t="shared" si="10"/>
        <v>820</v>
      </c>
      <c r="AB18" s="396">
        <v>540</v>
      </c>
      <c r="AC18" s="395">
        <f t="shared" si="11"/>
        <v>280</v>
      </c>
      <c r="AD18" s="364">
        <v>820</v>
      </c>
      <c r="AE18" s="79">
        <v>480</v>
      </c>
      <c r="AF18" s="364">
        <f t="shared" si="12"/>
        <v>340</v>
      </c>
      <c r="AG18" s="77">
        <f t="shared" si="13"/>
        <v>1470</v>
      </c>
      <c r="AH18" s="83">
        <v>1300</v>
      </c>
      <c r="AI18" s="79">
        <v>480</v>
      </c>
      <c r="AJ18" s="83">
        <f t="shared" si="14"/>
        <v>820</v>
      </c>
      <c r="AK18" s="83">
        <v>1300</v>
      </c>
      <c r="AL18" s="428">
        <v>630</v>
      </c>
      <c r="AM18" s="425">
        <f t="shared" si="18"/>
        <v>670</v>
      </c>
      <c r="AN18" s="83">
        <v>1300</v>
      </c>
      <c r="AO18" s="445">
        <f t="shared" si="0"/>
        <v>2410</v>
      </c>
      <c r="AP18" s="83">
        <v>1500</v>
      </c>
      <c r="AQ18" s="83">
        <v>1500</v>
      </c>
      <c r="AR18" s="364">
        <v>766.2926760000009</v>
      </c>
      <c r="AS18" s="77">
        <f t="shared" si="15"/>
        <v>3766.292676000001</v>
      </c>
      <c r="AT18" s="416">
        <f t="shared" si="16"/>
        <v>9416.292676000001</v>
      </c>
      <c r="AU18" s="149">
        <f t="shared" si="1"/>
        <v>4350</v>
      </c>
      <c r="AV18" s="87"/>
    </row>
    <row r="19" spans="1:48" s="5" customFormat="1" ht="22.5" customHeight="1" thickBot="1">
      <c r="A19" s="62">
        <v>14</v>
      </c>
      <c r="B19" s="56" t="s">
        <v>25</v>
      </c>
      <c r="C19" s="149">
        <v>77425</v>
      </c>
      <c r="D19" s="30">
        <v>4731.79</v>
      </c>
      <c r="E19" s="102">
        <v>4725</v>
      </c>
      <c r="F19" s="32">
        <f t="shared" si="4"/>
        <v>6.789999999999964</v>
      </c>
      <c r="G19" s="63"/>
      <c r="H19" s="30">
        <v>4717.78</v>
      </c>
      <c r="I19" s="54"/>
      <c r="J19" s="260">
        <f t="shared" si="5"/>
        <v>4717.78</v>
      </c>
      <c r="K19" s="46">
        <v>4710</v>
      </c>
      <c r="L19" s="32">
        <f t="shared" si="6"/>
        <v>7.779999999999745</v>
      </c>
      <c r="M19" s="63"/>
      <c r="N19" s="34">
        <v>4717.78</v>
      </c>
      <c r="O19" s="63"/>
      <c r="P19" s="298">
        <f t="shared" si="7"/>
        <v>4717.78</v>
      </c>
      <c r="Q19" s="46">
        <v>4695</v>
      </c>
      <c r="R19" s="32">
        <f t="shared" si="17"/>
        <v>22.779999999999745</v>
      </c>
      <c r="S19" s="77">
        <f t="shared" si="8"/>
        <v>14130</v>
      </c>
      <c r="T19" s="315">
        <v>4765.45</v>
      </c>
      <c r="U19" s="338">
        <v>4760</v>
      </c>
      <c r="V19" s="315">
        <f t="shared" si="9"/>
        <v>5.449999999999818</v>
      </c>
      <c r="W19" s="265">
        <v>0</v>
      </c>
      <c r="X19" s="380"/>
      <c r="Y19" s="342">
        <v>68994.94</v>
      </c>
      <c r="Z19" s="365">
        <v>9000</v>
      </c>
      <c r="AA19" s="393">
        <f t="shared" si="10"/>
        <v>9000</v>
      </c>
      <c r="AB19" s="396">
        <v>9000</v>
      </c>
      <c r="AC19" s="395">
        <f t="shared" si="11"/>
        <v>0</v>
      </c>
      <c r="AD19" s="364">
        <v>9000</v>
      </c>
      <c r="AE19" s="79">
        <v>8995</v>
      </c>
      <c r="AF19" s="364">
        <f t="shared" si="12"/>
        <v>5</v>
      </c>
      <c r="AG19" s="77">
        <f t="shared" si="13"/>
        <v>22755</v>
      </c>
      <c r="AH19" s="365">
        <v>9000</v>
      </c>
      <c r="AI19" s="417">
        <v>9000</v>
      </c>
      <c r="AJ19" s="83">
        <f t="shared" si="14"/>
        <v>0</v>
      </c>
      <c r="AK19" s="366">
        <v>9000</v>
      </c>
      <c r="AL19" s="430">
        <v>8980</v>
      </c>
      <c r="AM19" s="425">
        <f t="shared" si="18"/>
        <v>20</v>
      </c>
      <c r="AN19" s="83">
        <v>9000</v>
      </c>
      <c r="AO19" s="445">
        <f t="shared" si="0"/>
        <v>26980</v>
      </c>
      <c r="AP19" s="365">
        <v>9000</v>
      </c>
      <c r="AQ19" s="366">
        <v>9000</v>
      </c>
      <c r="AR19" s="364">
        <v>5994.92846000001</v>
      </c>
      <c r="AS19" s="77">
        <f t="shared" si="15"/>
        <v>23994.92846000001</v>
      </c>
      <c r="AT19" s="416">
        <f t="shared" si="16"/>
        <v>87859.92846000001</v>
      </c>
      <c r="AU19" s="149">
        <f t="shared" si="1"/>
        <v>54865</v>
      </c>
      <c r="AV19" s="87"/>
    </row>
    <row r="20" spans="1:48" s="10" customFormat="1" ht="23.25" customHeight="1">
      <c r="A20" s="64"/>
      <c r="B20" s="126" t="s">
        <v>12</v>
      </c>
      <c r="C20" s="48">
        <v>185230</v>
      </c>
      <c r="D20" s="48">
        <f aca="true" t="shared" si="19" ref="D20:AV20">SUM(D11:D19)</f>
        <v>14747.07</v>
      </c>
      <c r="E20" s="48">
        <f t="shared" si="19"/>
        <v>13560</v>
      </c>
      <c r="F20" s="48">
        <f t="shared" si="19"/>
        <v>1187.0700000000002</v>
      </c>
      <c r="G20" s="48">
        <f t="shared" si="19"/>
        <v>0</v>
      </c>
      <c r="H20" s="48">
        <f t="shared" si="19"/>
        <v>14703.45</v>
      </c>
      <c r="I20" s="48">
        <f t="shared" si="19"/>
        <v>0</v>
      </c>
      <c r="J20" s="48">
        <f t="shared" si="19"/>
        <v>14703.45</v>
      </c>
      <c r="K20" s="48">
        <f t="shared" si="19"/>
        <v>11610</v>
      </c>
      <c r="L20" s="48">
        <f t="shared" si="19"/>
        <v>3093.45</v>
      </c>
      <c r="M20" s="48">
        <f t="shared" si="19"/>
        <v>0</v>
      </c>
      <c r="N20" s="48">
        <f t="shared" si="19"/>
        <v>14703.45</v>
      </c>
      <c r="O20" s="48">
        <f t="shared" si="19"/>
        <v>0</v>
      </c>
      <c r="P20" s="48">
        <f t="shared" si="19"/>
        <v>14703.45</v>
      </c>
      <c r="Q20" s="48">
        <f t="shared" si="19"/>
        <v>13725</v>
      </c>
      <c r="R20" s="48">
        <f t="shared" si="19"/>
        <v>978.4499999999997</v>
      </c>
      <c r="S20" s="48">
        <f t="shared" si="19"/>
        <v>38895</v>
      </c>
      <c r="T20" s="141">
        <f t="shared" si="19"/>
        <v>14851.98</v>
      </c>
      <c r="U20" s="141">
        <f t="shared" si="19"/>
        <v>12640</v>
      </c>
      <c r="V20" s="141">
        <f t="shared" si="19"/>
        <v>2211.9799999999996</v>
      </c>
      <c r="W20" s="348">
        <f t="shared" si="19"/>
        <v>0</v>
      </c>
      <c r="X20" s="348">
        <f t="shared" si="19"/>
        <v>0</v>
      </c>
      <c r="Y20" s="348">
        <f t="shared" si="19"/>
        <v>134357.2</v>
      </c>
      <c r="Z20" s="348">
        <f t="shared" si="19"/>
        <v>17500</v>
      </c>
      <c r="AA20" s="348">
        <f t="shared" si="19"/>
        <v>17500</v>
      </c>
      <c r="AB20" s="348">
        <f t="shared" si="19"/>
        <v>17160</v>
      </c>
      <c r="AC20" s="367">
        <f t="shared" si="19"/>
        <v>340</v>
      </c>
      <c r="AD20" s="382">
        <f t="shared" si="19"/>
        <v>17500</v>
      </c>
      <c r="AE20" s="367">
        <f t="shared" si="19"/>
        <v>17115</v>
      </c>
      <c r="AF20" s="382">
        <f t="shared" si="19"/>
        <v>385</v>
      </c>
      <c r="AG20" s="367">
        <f t="shared" si="19"/>
        <v>46915</v>
      </c>
      <c r="AH20" s="367">
        <f t="shared" si="19"/>
        <v>18220</v>
      </c>
      <c r="AI20" s="367">
        <f t="shared" si="19"/>
        <v>17160</v>
      </c>
      <c r="AJ20" s="367">
        <f t="shared" si="19"/>
        <v>1060</v>
      </c>
      <c r="AK20" s="348">
        <f t="shared" si="19"/>
        <v>18220</v>
      </c>
      <c r="AL20" s="348">
        <f>SUM(AL11:AL19)</f>
        <v>17430</v>
      </c>
      <c r="AM20" s="348">
        <f>SUM(AM11:AM19)</f>
        <v>790</v>
      </c>
      <c r="AN20" s="367">
        <f t="shared" si="19"/>
        <v>18220</v>
      </c>
      <c r="AO20" s="382">
        <f t="shared" si="19"/>
        <v>52810</v>
      </c>
      <c r="AP20" s="348">
        <f t="shared" si="19"/>
        <v>18420</v>
      </c>
      <c r="AQ20" s="348">
        <f t="shared" si="19"/>
        <v>17962.612268</v>
      </c>
      <c r="AR20" s="348">
        <f t="shared" si="19"/>
        <v>8314.581441920014</v>
      </c>
      <c r="AS20" s="367">
        <f t="shared" si="19"/>
        <v>44697.193709920015</v>
      </c>
      <c r="AT20" s="48">
        <f t="shared" si="19"/>
        <v>183317.19370992001</v>
      </c>
      <c r="AU20" s="237">
        <f t="shared" si="19"/>
        <v>120400</v>
      </c>
      <c r="AV20" s="48">
        <f t="shared" si="19"/>
        <v>0</v>
      </c>
    </row>
    <row r="21" spans="1:48" s="10" customFormat="1" ht="20.25" customHeight="1" thickBot="1">
      <c r="A21" s="65"/>
      <c r="B21" s="127" t="s">
        <v>43</v>
      </c>
      <c r="C21" s="49">
        <v>3290376</v>
      </c>
      <c r="D21" s="49">
        <f aca="true" t="shared" si="20" ref="D21:AV21">D10+D20</f>
        <v>200020.08000000002</v>
      </c>
      <c r="E21" s="49">
        <f t="shared" si="20"/>
        <v>257247</v>
      </c>
      <c r="F21" s="151">
        <f t="shared" si="20"/>
        <v>5312.620000000003</v>
      </c>
      <c r="G21" s="49">
        <f t="shared" si="20"/>
        <v>173459</v>
      </c>
      <c r="H21" s="49">
        <f t="shared" si="20"/>
        <v>195979.92</v>
      </c>
      <c r="I21" s="151">
        <f t="shared" si="20"/>
        <v>5312.620000000002</v>
      </c>
      <c r="J21" s="49">
        <f t="shared" si="20"/>
        <v>203238.79</v>
      </c>
      <c r="K21" s="49">
        <f t="shared" si="20"/>
        <v>245921</v>
      </c>
      <c r="L21" s="151">
        <f t="shared" si="20"/>
        <v>3103.814863649889</v>
      </c>
      <c r="M21" s="49">
        <f t="shared" si="20"/>
        <v>170588</v>
      </c>
      <c r="N21" s="49">
        <f t="shared" si="20"/>
        <v>196053.75000000003</v>
      </c>
      <c r="O21" s="151">
        <f t="shared" si="20"/>
        <v>3103.8148636498895</v>
      </c>
      <c r="P21" s="49">
        <f t="shared" si="20"/>
        <v>199186.6248636499</v>
      </c>
      <c r="Q21" s="49">
        <f t="shared" si="20"/>
        <v>367879</v>
      </c>
      <c r="R21" s="151">
        <f t="shared" si="20"/>
        <v>984.321827562543</v>
      </c>
      <c r="S21" s="49">
        <f t="shared" si="20"/>
        <v>871047</v>
      </c>
      <c r="T21" s="142">
        <f t="shared" si="20"/>
        <v>201948.6</v>
      </c>
      <c r="U21" s="142">
        <f t="shared" si="20"/>
        <v>193008</v>
      </c>
      <c r="V21" s="205">
        <f t="shared" si="20"/>
        <v>15540.600000000002</v>
      </c>
      <c r="W21" s="349">
        <f t="shared" si="20"/>
        <v>119625.25</v>
      </c>
      <c r="X21" s="388">
        <f t="shared" si="20"/>
        <v>16524.921827562546</v>
      </c>
      <c r="Y21" s="349">
        <f t="shared" si="20"/>
        <v>1282400</v>
      </c>
      <c r="Z21" s="349">
        <f t="shared" si="20"/>
        <v>193522.34000000003</v>
      </c>
      <c r="AA21" s="349">
        <f t="shared" si="20"/>
        <v>221542.42182756256</v>
      </c>
      <c r="AB21" s="349">
        <f t="shared" si="20"/>
        <v>305711</v>
      </c>
      <c r="AC21" s="151">
        <f t="shared" si="20"/>
        <v>341</v>
      </c>
      <c r="AD21" s="383">
        <f t="shared" si="20"/>
        <v>197340</v>
      </c>
      <c r="AE21" s="368">
        <f t="shared" si="20"/>
        <v>286584</v>
      </c>
      <c r="AF21" s="411">
        <f t="shared" si="20"/>
        <v>389</v>
      </c>
      <c r="AG21" s="368">
        <f t="shared" si="20"/>
        <v>785303</v>
      </c>
      <c r="AH21" s="368">
        <f t="shared" si="20"/>
        <v>184220</v>
      </c>
      <c r="AI21" s="368">
        <f t="shared" si="20"/>
        <v>238730</v>
      </c>
      <c r="AJ21" s="419">
        <f t="shared" si="20"/>
        <v>1067</v>
      </c>
      <c r="AK21" s="349">
        <f t="shared" si="20"/>
        <v>196117</v>
      </c>
      <c r="AL21" s="349">
        <f>AL10+AL20</f>
        <v>293802</v>
      </c>
      <c r="AM21" s="442">
        <f>AM10+AM20</f>
        <v>790</v>
      </c>
      <c r="AN21" s="368">
        <f t="shared" si="20"/>
        <v>194987.84</v>
      </c>
      <c r="AO21" s="383">
        <f t="shared" si="20"/>
        <v>727519.84</v>
      </c>
      <c r="AP21" s="349">
        <f t="shared" si="20"/>
        <v>197043</v>
      </c>
      <c r="AQ21" s="349">
        <f t="shared" si="20"/>
        <v>97382.41502272003</v>
      </c>
      <c r="AR21" s="349">
        <f t="shared" si="20"/>
        <v>8314.58453192003</v>
      </c>
      <c r="AS21" s="368">
        <f t="shared" si="20"/>
        <v>302739.99955464003</v>
      </c>
      <c r="AT21" s="49">
        <f t="shared" si="20"/>
        <v>2686609.8395546405</v>
      </c>
      <c r="AU21" s="143">
        <f t="shared" si="20"/>
        <v>2188882</v>
      </c>
      <c r="AV21" s="49">
        <f t="shared" si="20"/>
        <v>0</v>
      </c>
    </row>
    <row r="22" spans="1:96" s="76" customFormat="1" ht="34.5" customHeight="1" thickBot="1">
      <c r="A22" s="16"/>
      <c r="B22" s="17"/>
      <c r="C22" s="179" t="s">
        <v>39</v>
      </c>
      <c r="D22" s="178"/>
      <c r="E22" s="197">
        <f>-(F6+F7+F9)</f>
        <v>62539.54</v>
      </c>
      <c r="F22" s="135"/>
      <c r="G22" s="131" t="s">
        <v>34</v>
      </c>
      <c r="H22" s="136">
        <f>F21*100/G21</f>
        <v>3.0627525813016345</v>
      </c>
      <c r="I22" s="22"/>
      <c r="J22" s="273" t="s">
        <v>73</v>
      </c>
      <c r="K22" s="274">
        <f>-(L6+L7+L9)</f>
        <v>45786.02486364989</v>
      </c>
      <c r="L22" s="131" t="s">
        <v>34</v>
      </c>
      <c r="M22" s="297">
        <f>L21*100/M21</f>
        <v>1.8194801883191603</v>
      </c>
      <c r="N22" s="257"/>
      <c r="O22" s="257"/>
      <c r="P22" s="257"/>
      <c r="Q22" s="258"/>
      <c r="R22" s="259">
        <f>16871.57+152600+205.12</f>
        <v>169676.69</v>
      </c>
      <c r="S22" s="324" t="s">
        <v>90</v>
      </c>
      <c r="T22" s="323">
        <f>R21</f>
        <v>984.321827562543</v>
      </c>
      <c r="U22" s="273" t="s">
        <v>73</v>
      </c>
      <c r="V22" s="351">
        <f>-(V7)</f>
        <v>6600</v>
      </c>
      <c r="W22" s="356"/>
      <c r="X22" s="356"/>
      <c r="Y22" s="323"/>
      <c r="Z22" s="144"/>
      <c r="AA22" s="273" t="s">
        <v>73</v>
      </c>
      <c r="AB22" s="245">
        <f>-(AC6+AC7+AC9)</f>
        <v>84509.57895299152</v>
      </c>
      <c r="AC22" s="144"/>
      <c r="AD22" s="273" t="s">
        <v>73</v>
      </c>
      <c r="AE22" s="245">
        <f>-(AF6+AF7+AF9)</f>
        <v>89423</v>
      </c>
      <c r="AF22" s="144"/>
      <c r="AG22" s="144"/>
      <c r="AH22" s="144"/>
      <c r="AI22" s="273" t="s">
        <v>73</v>
      </c>
      <c r="AJ22" s="245">
        <f>-(AJ6+AJ7+AJ9)</f>
        <v>55577</v>
      </c>
      <c r="AK22" s="144"/>
      <c r="AL22" s="273" t="s">
        <v>73</v>
      </c>
      <c r="AM22" s="245">
        <f>-(AM6+AM7+AM9)</f>
        <v>98475</v>
      </c>
      <c r="AN22" s="144"/>
      <c r="AO22" s="144"/>
      <c r="AP22" s="144"/>
      <c r="AQ22" s="144"/>
      <c r="AR22" s="144"/>
      <c r="AS22" s="144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</row>
    <row r="23" spans="2:47" s="112" customFormat="1" ht="36" customHeight="1" hidden="1" thickBot="1">
      <c r="B23" s="113"/>
      <c r="C23" s="114"/>
      <c r="D23" s="80"/>
      <c r="E23" s="116"/>
      <c r="F23" s="80"/>
      <c r="G23" s="80"/>
      <c r="H23" s="115"/>
      <c r="I23" s="115"/>
      <c r="J23" s="114"/>
      <c r="K23" s="115"/>
      <c r="L23" s="576" t="s">
        <v>47</v>
      </c>
      <c r="M23" s="577"/>
      <c r="N23" s="578"/>
      <c r="O23" s="266"/>
      <c r="P23" s="266"/>
      <c r="Q23" s="253">
        <f>N22+R21</f>
        <v>984.321827562543</v>
      </c>
      <c r="R23" s="192" t="s">
        <v>34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229" t="e">
        <f>#REF!+#REF!+#REF!</f>
        <v>#REF!</v>
      </c>
      <c r="AU23" s="80"/>
    </row>
    <row r="24" spans="2:47" s="100" customFormat="1" ht="33" customHeight="1" thickBot="1">
      <c r="B24" s="117"/>
      <c r="C24" s="94"/>
      <c r="D24" s="36"/>
      <c r="E24" s="88"/>
      <c r="F24" s="36"/>
      <c r="G24" s="36"/>
      <c r="H24" s="94"/>
      <c r="I24" s="94"/>
      <c r="J24" s="41"/>
      <c r="K24" s="579"/>
      <c r="L24" s="580"/>
      <c r="M24" s="296"/>
      <c r="N24" s="94"/>
      <c r="O24" s="94"/>
      <c r="P24" s="94"/>
      <c r="Q24" s="94"/>
      <c r="R24" s="94"/>
      <c r="S24" s="89"/>
      <c r="T24" s="581" t="s">
        <v>107</v>
      </c>
      <c r="U24" s="582"/>
      <c r="V24" s="190">
        <f>R21+V21</f>
        <v>16524.921827562546</v>
      </c>
      <c r="W24" s="374" t="s">
        <v>124</v>
      </c>
      <c r="X24" s="387">
        <f>V24*100/W21</f>
        <v>13.813907872763105</v>
      </c>
      <c r="Y24" s="89"/>
      <c r="Z24" s="89"/>
      <c r="AA24" s="89"/>
      <c r="AB24" s="89"/>
      <c r="AC24" s="404"/>
      <c r="AD24" s="190">
        <f>AC21+AF21</f>
        <v>730</v>
      </c>
      <c r="AE24" s="412" t="s">
        <v>134</v>
      </c>
      <c r="AF24" s="413">
        <f>-AF8</f>
        <v>210.00000000000182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189" t="s">
        <v>41</v>
      </c>
      <c r="AU24" s="448">
        <f>AM21+AJ21+AF21+AC21</f>
        <v>2587</v>
      </c>
    </row>
    <row r="25" spans="2:47" s="100" customFormat="1" ht="12.75">
      <c r="B25" s="118"/>
      <c r="C25" s="119"/>
      <c r="D25" s="36"/>
      <c r="E25" s="88"/>
      <c r="F25" s="36"/>
      <c r="G25" s="36"/>
      <c r="H25" s="94"/>
      <c r="I25" s="94"/>
      <c r="J25" s="41"/>
      <c r="K25" s="94"/>
      <c r="L25" s="94"/>
      <c r="M25" s="94"/>
      <c r="N25" s="94"/>
      <c r="O25" s="94"/>
      <c r="P25" s="94"/>
      <c r="Q25" s="94"/>
      <c r="R25" s="94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8"/>
      <c r="AU25" s="36"/>
    </row>
    <row r="26" spans="2:47" s="100" customFormat="1" ht="12.75">
      <c r="B26" s="89"/>
      <c r="C26" s="41"/>
      <c r="D26" s="36"/>
      <c r="E26" s="88"/>
      <c r="F26" s="36"/>
      <c r="G26" s="36"/>
      <c r="H26" s="94"/>
      <c r="I26" s="94"/>
      <c r="J26" s="41"/>
      <c r="K26" s="94"/>
      <c r="L26" s="94"/>
      <c r="M26" s="94"/>
      <c r="N26" s="94"/>
      <c r="O26" s="94"/>
      <c r="P26" s="94"/>
      <c r="Q26" s="94"/>
      <c r="R26" s="94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16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8"/>
      <c r="AU26" s="36"/>
    </row>
    <row r="27" spans="2:47" s="100" customFormat="1" ht="12.75">
      <c r="B27" s="93"/>
      <c r="C27" s="92"/>
      <c r="D27" s="108"/>
      <c r="E27" s="103"/>
      <c r="F27" s="92"/>
      <c r="G27" s="92"/>
      <c r="H27" s="109"/>
      <c r="I27" s="109"/>
      <c r="J27" s="92"/>
      <c r="K27" s="109"/>
      <c r="L27" s="109"/>
      <c r="M27" s="109"/>
      <c r="N27" s="109"/>
      <c r="O27" s="109"/>
      <c r="P27" s="109"/>
      <c r="Q27" s="109"/>
      <c r="R27" s="109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20"/>
      <c r="AU27" s="121"/>
    </row>
    <row r="28" spans="2:47" s="100" customFormat="1" ht="15.75" customHeight="1">
      <c r="B28" s="93"/>
      <c r="C28" s="92"/>
      <c r="D28" s="108"/>
      <c r="E28" s="252"/>
      <c r="F28" s="108"/>
      <c r="G28" s="108"/>
      <c r="H28" s="109"/>
      <c r="I28" s="109"/>
      <c r="J28" s="92"/>
      <c r="K28" s="109"/>
      <c r="L28" s="109"/>
      <c r="M28" s="109"/>
      <c r="N28" s="109"/>
      <c r="O28" s="109"/>
      <c r="P28" s="109"/>
      <c r="Q28" s="109"/>
      <c r="R28" s="109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8"/>
    </row>
    <row r="29" spans="2:47" s="100" customFormat="1" ht="15" customHeight="1">
      <c r="B29" s="110"/>
      <c r="C29" s="92"/>
      <c r="D29" s="108"/>
      <c r="E29" s="103"/>
      <c r="F29" s="108"/>
      <c r="G29" s="108"/>
      <c r="H29" s="109"/>
      <c r="I29" s="109"/>
      <c r="J29" s="92"/>
      <c r="K29" s="108"/>
      <c r="L29" s="109"/>
      <c r="M29" s="109"/>
      <c r="N29" s="109"/>
      <c r="O29" s="109"/>
      <c r="P29" s="109"/>
      <c r="Q29" s="109"/>
      <c r="R29" s="10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53"/>
      <c r="AU29" s="108"/>
    </row>
    <row r="30" spans="2:47" s="100" customFormat="1" ht="17.25" customHeight="1">
      <c r="B30" s="111"/>
      <c r="C30" s="41"/>
      <c r="D30" s="36"/>
      <c r="E30" s="88"/>
      <c r="F30" s="36"/>
      <c r="G30" s="36"/>
      <c r="H30" s="94"/>
      <c r="I30" s="94"/>
      <c r="J30" s="41"/>
      <c r="K30" s="94"/>
      <c r="L30" s="94"/>
      <c r="M30" s="94"/>
      <c r="N30" s="94"/>
      <c r="O30" s="94"/>
      <c r="P30" s="94"/>
      <c r="Q30" s="94"/>
      <c r="R30" s="94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103"/>
      <c r="AU30" s="108"/>
    </row>
    <row r="31" spans="2:47" s="100" customFormat="1" ht="25.5" customHeight="1" hidden="1" thickBot="1">
      <c r="B31" s="89"/>
      <c r="C31" s="41"/>
      <c r="D31" s="36"/>
      <c r="E31" s="88"/>
      <c r="F31" s="36"/>
      <c r="G31" s="36"/>
      <c r="H31" s="94"/>
      <c r="I31" s="94"/>
      <c r="J31" s="41"/>
      <c r="K31" s="94"/>
      <c r="L31" s="94"/>
      <c r="M31" s="94"/>
      <c r="N31" s="94"/>
      <c r="O31" s="94"/>
      <c r="P31" s="94"/>
      <c r="Q31" s="94"/>
      <c r="R31" s="94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8"/>
      <c r="AU31" s="36"/>
    </row>
    <row r="32" spans="2:47" s="100" customFormat="1" ht="25.5" customHeight="1" hidden="1" thickBot="1">
      <c r="B32" s="89"/>
      <c r="C32" s="41"/>
      <c r="D32" s="36"/>
      <c r="E32" s="88"/>
      <c r="F32" s="36"/>
      <c r="G32" s="36"/>
      <c r="H32" s="94"/>
      <c r="I32" s="94"/>
      <c r="J32" s="41"/>
      <c r="K32" s="94"/>
      <c r="L32" s="94"/>
      <c r="M32" s="94"/>
      <c r="N32" s="94"/>
      <c r="O32" s="94"/>
      <c r="P32" s="94"/>
      <c r="Q32" s="94"/>
      <c r="R32" s="94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8"/>
      <c r="AU32" s="36"/>
    </row>
    <row r="33" spans="2:47" s="100" customFormat="1" ht="25.5" customHeight="1" hidden="1">
      <c r="B33" s="89"/>
      <c r="C33" s="41"/>
      <c r="D33" s="36"/>
      <c r="E33" s="88"/>
      <c r="F33" s="36"/>
      <c r="G33" s="36"/>
      <c r="H33" s="94"/>
      <c r="I33" s="94"/>
      <c r="J33" s="41"/>
      <c r="K33" s="94"/>
      <c r="L33" s="94"/>
      <c r="M33" s="94"/>
      <c r="N33" s="94"/>
      <c r="O33" s="94"/>
      <c r="P33" s="94"/>
      <c r="Q33" s="94"/>
      <c r="R33" s="9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8"/>
      <c r="AU33" s="36"/>
    </row>
    <row r="34" spans="2:47" s="100" customFormat="1" ht="25.5" customHeight="1">
      <c r="B34" s="89"/>
      <c r="C34" s="41"/>
      <c r="D34" s="36"/>
      <c r="E34" s="88"/>
      <c r="F34" s="36"/>
      <c r="G34" s="36"/>
      <c r="H34" s="94"/>
      <c r="I34" s="94"/>
      <c r="J34" s="41"/>
      <c r="K34" s="94"/>
      <c r="L34" s="94"/>
      <c r="M34" s="94"/>
      <c r="N34" s="94"/>
      <c r="O34" s="94"/>
      <c r="P34" s="94"/>
      <c r="Q34" s="94"/>
      <c r="R34" s="94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8"/>
      <c r="AU34" s="36"/>
    </row>
    <row r="35" spans="2:47" s="100" customFormat="1" ht="25.5" customHeight="1">
      <c r="B35" s="89"/>
      <c r="C35" s="41"/>
      <c r="D35" s="36"/>
      <c r="E35" s="88"/>
      <c r="F35" s="36"/>
      <c r="G35" s="36"/>
      <c r="H35" s="94"/>
      <c r="I35" s="94"/>
      <c r="J35" s="41"/>
      <c r="K35" s="94"/>
      <c r="L35" s="94"/>
      <c r="M35" s="94"/>
      <c r="N35" s="94"/>
      <c r="O35" s="94"/>
      <c r="P35" s="94"/>
      <c r="Q35" s="94"/>
      <c r="R35" s="94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8"/>
      <c r="AU35" s="36"/>
    </row>
    <row r="36" spans="2:47" s="100" customFormat="1" ht="25.5" customHeight="1">
      <c r="B36" s="89"/>
      <c r="C36" s="41"/>
      <c r="D36" s="36"/>
      <c r="E36" s="88"/>
      <c r="F36" s="36"/>
      <c r="G36" s="36"/>
      <c r="H36" s="94"/>
      <c r="I36" s="94"/>
      <c r="J36" s="41"/>
      <c r="K36" s="94"/>
      <c r="L36" s="94"/>
      <c r="M36" s="94"/>
      <c r="N36" s="94"/>
      <c r="O36" s="94"/>
      <c r="P36" s="94"/>
      <c r="Q36" s="94"/>
      <c r="R36" s="9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8"/>
      <c r="AU36" s="36"/>
    </row>
    <row r="37" spans="2:47" s="100" customFormat="1" ht="25.5" customHeight="1">
      <c r="B37" s="89"/>
      <c r="C37" s="41"/>
      <c r="D37" s="36"/>
      <c r="E37" s="88"/>
      <c r="F37" s="36"/>
      <c r="G37" s="36"/>
      <c r="H37" s="94"/>
      <c r="I37" s="94"/>
      <c r="J37" s="41"/>
      <c r="K37" s="94"/>
      <c r="L37" s="94"/>
      <c r="M37" s="94"/>
      <c r="N37" s="94"/>
      <c r="O37" s="94"/>
      <c r="P37" s="94"/>
      <c r="Q37" s="94"/>
      <c r="R37" s="94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8"/>
      <c r="AU37" s="36"/>
    </row>
    <row r="38" spans="2:47" s="100" customFormat="1" ht="25.5" customHeight="1">
      <c r="B38" s="89"/>
      <c r="C38" s="41"/>
      <c r="D38" s="36"/>
      <c r="E38" s="88"/>
      <c r="F38" s="36"/>
      <c r="G38" s="36"/>
      <c r="H38" s="94"/>
      <c r="I38" s="94"/>
      <c r="J38" s="41"/>
      <c r="K38" s="94"/>
      <c r="L38" s="94"/>
      <c r="M38" s="94"/>
      <c r="N38" s="94"/>
      <c r="O38" s="94"/>
      <c r="P38" s="94"/>
      <c r="Q38" s="94"/>
      <c r="R38" s="94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8"/>
      <c r="AU38" s="36"/>
    </row>
    <row r="39" spans="2:47" s="100" customFormat="1" ht="25.5" customHeight="1">
      <c r="B39" s="89"/>
      <c r="C39" s="41"/>
      <c r="D39" s="36"/>
      <c r="E39" s="88"/>
      <c r="F39" s="36"/>
      <c r="G39" s="36"/>
      <c r="H39" s="94"/>
      <c r="I39" s="94"/>
      <c r="J39" s="41"/>
      <c r="K39" s="94"/>
      <c r="L39" s="94"/>
      <c r="M39" s="94"/>
      <c r="N39" s="94"/>
      <c r="O39" s="94"/>
      <c r="P39" s="94"/>
      <c r="Q39" s="94"/>
      <c r="R39" s="94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8"/>
      <c r="AU39" s="36"/>
    </row>
    <row r="40" spans="2:47" s="100" customFormat="1" ht="25.5" customHeight="1">
      <c r="B40" s="89"/>
      <c r="C40" s="41"/>
      <c r="D40" s="36"/>
      <c r="E40" s="88"/>
      <c r="F40" s="36"/>
      <c r="G40" s="36"/>
      <c r="H40" s="94"/>
      <c r="I40" s="94"/>
      <c r="J40" s="41"/>
      <c r="K40" s="94"/>
      <c r="L40" s="94"/>
      <c r="M40" s="94"/>
      <c r="N40" s="94"/>
      <c r="O40" s="94"/>
      <c r="P40" s="94"/>
      <c r="Q40" s="94"/>
      <c r="R40" s="94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8"/>
      <c r="AU40" s="36"/>
    </row>
    <row r="41" spans="2:47" s="100" customFormat="1" ht="25.5" customHeight="1">
      <c r="B41" s="89"/>
      <c r="C41" s="41"/>
      <c r="D41" s="36"/>
      <c r="E41" s="88"/>
      <c r="F41" s="36"/>
      <c r="G41" s="36"/>
      <c r="H41" s="94"/>
      <c r="I41" s="94"/>
      <c r="J41" s="41"/>
      <c r="K41" s="94"/>
      <c r="L41" s="94"/>
      <c r="M41" s="94"/>
      <c r="N41" s="94"/>
      <c r="O41" s="94"/>
      <c r="P41" s="94"/>
      <c r="Q41" s="94"/>
      <c r="R41" s="94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8"/>
      <c r="AU41" s="36"/>
    </row>
    <row r="42" spans="2:47" s="100" customFormat="1" ht="25.5" customHeight="1">
      <c r="B42" s="89"/>
      <c r="C42" s="41"/>
      <c r="D42" s="36"/>
      <c r="E42" s="88"/>
      <c r="F42" s="36"/>
      <c r="G42" s="36"/>
      <c r="H42" s="94"/>
      <c r="I42" s="94"/>
      <c r="J42" s="41"/>
      <c r="K42" s="94"/>
      <c r="L42" s="94"/>
      <c r="M42" s="94"/>
      <c r="N42" s="94"/>
      <c r="O42" s="94"/>
      <c r="P42" s="94"/>
      <c r="Q42" s="94"/>
      <c r="R42" s="94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8"/>
      <c r="AU42" s="36"/>
    </row>
    <row r="43" spans="2:47" s="100" customFormat="1" ht="25.5" customHeight="1">
      <c r="B43" s="89"/>
      <c r="C43" s="41"/>
      <c r="D43" s="36"/>
      <c r="E43" s="88"/>
      <c r="F43" s="36"/>
      <c r="G43" s="36"/>
      <c r="H43" s="94"/>
      <c r="I43" s="94"/>
      <c r="J43" s="41"/>
      <c r="K43" s="94"/>
      <c r="L43" s="94"/>
      <c r="M43" s="94"/>
      <c r="N43" s="94"/>
      <c r="O43" s="94"/>
      <c r="P43" s="94"/>
      <c r="Q43" s="94"/>
      <c r="R43" s="94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8"/>
      <c r="AU43" s="36"/>
    </row>
    <row r="44" spans="2:47" s="100" customFormat="1" ht="25.5" customHeight="1">
      <c r="B44" s="89"/>
      <c r="C44" s="41"/>
      <c r="D44" s="36"/>
      <c r="E44" s="88"/>
      <c r="F44" s="36"/>
      <c r="G44" s="36"/>
      <c r="H44" s="94"/>
      <c r="I44" s="94"/>
      <c r="J44" s="41"/>
      <c r="K44" s="94"/>
      <c r="L44" s="94"/>
      <c r="M44" s="94"/>
      <c r="N44" s="94"/>
      <c r="O44" s="94"/>
      <c r="P44" s="94"/>
      <c r="Q44" s="94"/>
      <c r="R44" s="94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8"/>
      <c r="AU44" s="36"/>
    </row>
    <row r="45" spans="2:47" s="100" customFormat="1" ht="25.5" customHeight="1">
      <c r="B45" s="89"/>
      <c r="C45" s="41"/>
      <c r="D45" s="36"/>
      <c r="E45" s="88"/>
      <c r="F45" s="36"/>
      <c r="G45" s="36"/>
      <c r="H45" s="94"/>
      <c r="I45" s="94"/>
      <c r="J45" s="41"/>
      <c r="K45" s="94"/>
      <c r="L45" s="94"/>
      <c r="M45" s="94"/>
      <c r="N45" s="94"/>
      <c r="O45" s="94"/>
      <c r="P45" s="94"/>
      <c r="Q45" s="94"/>
      <c r="R45" s="94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8"/>
      <c r="AU45" s="36"/>
    </row>
    <row r="46" spans="2:47" s="100" customFormat="1" ht="25.5" customHeight="1">
      <c r="B46" s="89"/>
      <c r="C46" s="41"/>
      <c r="D46" s="36"/>
      <c r="E46" s="88"/>
      <c r="F46" s="36"/>
      <c r="G46" s="36"/>
      <c r="H46" s="94"/>
      <c r="I46" s="94"/>
      <c r="J46" s="41"/>
      <c r="K46" s="94"/>
      <c r="L46" s="94"/>
      <c r="M46" s="94"/>
      <c r="N46" s="94"/>
      <c r="O46" s="94"/>
      <c r="P46" s="94"/>
      <c r="Q46" s="94"/>
      <c r="R46" s="9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8"/>
      <c r="AU46" s="36"/>
    </row>
    <row r="47" spans="2:47" s="100" customFormat="1" ht="25.5" customHeight="1">
      <c r="B47" s="89"/>
      <c r="C47" s="41"/>
      <c r="D47" s="36"/>
      <c r="E47" s="88"/>
      <c r="F47" s="36"/>
      <c r="G47" s="36"/>
      <c r="H47" s="94"/>
      <c r="I47" s="94"/>
      <c r="J47" s="41"/>
      <c r="K47" s="94"/>
      <c r="L47" s="94"/>
      <c r="M47" s="94"/>
      <c r="N47" s="94"/>
      <c r="O47" s="94"/>
      <c r="P47" s="94"/>
      <c r="Q47" s="94"/>
      <c r="R47" s="94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8"/>
      <c r="AU47" s="36"/>
    </row>
    <row r="48" spans="2:47" s="100" customFormat="1" ht="25.5" customHeight="1">
      <c r="B48" s="89"/>
      <c r="C48" s="41"/>
      <c r="D48" s="36"/>
      <c r="E48" s="88"/>
      <c r="F48" s="36"/>
      <c r="G48" s="36"/>
      <c r="H48" s="94"/>
      <c r="I48" s="94"/>
      <c r="J48" s="41"/>
      <c r="K48" s="94"/>
      <c r="L48" s="94"/>
      <c r="M48" s="94"/>
      <c r="N48" s="94"/>
      <c r="O48" s="94"/>
      <c r="P48" s="94"/>
      <c r="Q48" s="94"/>
      <c r="R48" s="94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8"/>
      <c r="AU48" s="36"/>
    </row>
    <row r="49" spans="2:47" s="100" customFormat="1" ht="25.5" customHeight="1">
      <c r="B49" s="89"/>
      <c r="C49" s="41"/>
      <c r="D49" s="36"/>
      <c r="E49" s="88"/>
      <c r="F49" s="36"/>
      <c r="G49" s="36"/>
      <c r="H49" s="94"/>
      <c r="I49" s="94"/>
      <c r="J49" s="41"/>
      <c r="K49" s="94"/>
      <c r="L49" s="94"/>
      <c r="M49" s="94"/>
      <c r="N49" s="94"/>
      <c r="O49" s="94"/>
      <c r="P49" s="94"/>
      <c r="Q49" s="94"/>
      <c r="R49" s="94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8"/>
      <c r="AU49" s="36"/>
    </row>
    <row r="50" spans="2:47" s="100" customFormat="1" ht="25.5" customHeight="1">
      <c r="B50" s="89"/>
      <c r="C50" s="41"/>
      <c r="D50" s="36"/>
      <c r="E50" s="88"/>
      <c r="F50" s="36"/>
      <c r="G50" s="36"/>
      <c r="H50" s="94"/>
      <c r="I50" s="94"/>
      <c r="J50" s="41"/>
      <c r="K50" s="94"/>
      <c r="L50" s="94"/>
      <c r="M50" s="94"/>
      <c r="N50" s="94"/>
      <c r="O50" s="94"/>
      <c r="P50" s="94"/>
      <c r="Q50" s="94"/>
      <c r="R50" s="94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8"/>
      <c r="AU50" s="36"/>
    </row>
    <row r="51" spans="2:47" s="100" customFormat="1" ht="25.5" customHeight="1">
      <c r="B51" s="89"/>
      <c r="C51" s="41"/>
      <c r="D51" s="36"/>
      <c r="E51" s="88"/>
      <c r="F51" s="36"/>
      <c r="G51" s="36"/>
      <c r="H51" s="94"/>
      <c r="I51" s="94"/>
      <c r="J51" s="41"/>
      <c r="K51" s="94"/>
      <c r="L51" s="94"/>
      <c r="M51" s="94"/>
      <c r="N51" s="94"/>
      <c r="O51" s="94"/>
      <c r="P51" s="94"/>
      <c r="Q51" s="94"/>
      <c r="R51" s="94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8"/>
      <c r="AU51" s="36"/>
    </row>
    <row r="52" spans="2:47" s="100" customFormat="1" ht="25.5" customHeight="1">
      <c r="B52" s="89"/>
      <c r="C52" s="41"/>
      <c r="D52" s="36"/>
      <c r="E52" s="88"/>
      <c r="F52" s="36"/>
      <c r="G52" s="36"/>
      <c r="H52" s="94"/>
      <c r="I52" s="94"/>
      <c r="J52" s="41"/>
      <c r="K52" s="94"/>
      <c r="L52" s="94"/>
      <c r="M52" s="94"/>
      <c r="N52" s="94"/>
      <c r="O52" s="94"/>
      <c r="P52" s="94"/>
      <c r="Q52" s="94"/>
      <c r="R52" s="9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8"/>
      <c r="AU52" s="36"/>
    </row>
    <row r="53" spans="2:47" s="100" customFormat="1" ht="25.5" customHeight="1">
      <c r="B53" s="89"/>
      <c r="C53" s="41"/>
      <c r="D53" s="36"/>
      <c r="E53" s="88"/>
      <c r="F53" s="36"/>
      <c r="G53" s="36"/>
      <c r="H53" s="94"/>
      <c r="I53" s="94"/>
      <c r="J53" s="41"/>
      <c r="K53" s="94"/>
      <c r="L53" s="94"/>
      <c r="M53" s="94"/>
      <c r="N53" s="94"/>
      <c r="O53" s="94"/>
      <c r="P53" s="94"/>
      <c r="Q53" s="94"/>
      <c r="R53" s="94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8"/>
      <c r="AU53" s="36"/>
    </row>
    <row r="54" spans="2:47" s="100" customFormat="1" ht="25.5" customHeight="1">
      <c r="B54" s="89"/>
      <c r="C54" s="41"/>
      <c r="D54" s="36"/>
      <c r="E54" s="88"/>
      <c r="F54" s="36"/>
      <c r="G54" s="36"/>
      <c r="H54" s="94"/>
      <c r="I54" s="94"/>
      <c r="J54" s="41"/>
      <c r="K54" s="94"/>
      <c r="L54" s="94"/>
      <c r="M54" s="94"/>
      <c r="N54" s="94"/>
      <c r="O54" s="94"/>
      <c r="P54" s="94"/>
      <c r="Q54" s="94"/>
      <c r="R54" s="94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8"/>
      <c r="AU54" s="36"/>
    </row>
    <row r="55" spans="2:47" s="100" customFormat="1" ht="25.5" customHeight="1">
      <c r="B55" s="89"/>
      <c r="C55" s="41"/>
      <c r="D55" s="36"/>
      <c r="E55" s="88"/>
      <c r="F55" s="36"/>
      <c r="G55" s="36"/>
      <c r="H55" s="94"/>
      <c r="I55" s="94"/>
      <c r="J55" s="41"/>
      <c r="K55" s="94"/>
      <c r="L55" s="94"/>
      <c r="M55" s="94"/>
      <c r="N55" s="94"/>
      <c r="O55" s="94"/>
      <c r="P55" s="94"/>
      <c r="Q55" s="94"/>
      <c r="R55" s="9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8"/>
      <c r="AU55" s="36"/>
    </row>
    <row r="56" spans="2:47" s="100" customFormat="1" ht="25.5" customHeight="1">
      <c r="B56" s="89"/>
      <c r="C56" s="41"/>
      <c r="D56" s="36"/>
      <c r="E56" s="88"/>
      <c r="F56" s="36"/>
      <c r="G56" s="36"/>
      <c r="H56" s="94"/>
      <c r="I56" s="94"/>
      <c r="J56" s="41"/>
      <c r="K56" s="94"/>
      <c r="L56" s="94"/>
      <c r="M56" s="94"/>
      <c r="N56" s="94"/>
      <c r="O56" s="94"/>
      <c r="P56" s="94"/>
      <c r="Q56" s="94"/>
      <c r="R56" s="94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8"/>
      <c r="AU56" s="36"/>
    </row>
    <row r="57" spans="2:47" s="100" customFormat="1" ht="25.5" customHeight="1">
      <c r="B57" s="89"/>
      <c r="C57" s="41"/>
      <c r="D57" s="36"/>
      <c r="E57" s="88"/>
      <c r="F57" s="36"/>
      <c r="G57" s="36"/>
      <c r="H57" s="94"/>
      <c r="I57" s="94"/>
      <c r="J57" s="41"/>
      <c r="K57" s="94"/>
      <c r="L57" s="94"/>
      <c r="M57" s="94"/>
      <c r="N57" s="94"/>
      <c r="O57" s="94"/>
      <c r="P57" s="94"/>
      <c r="Q57" s="94"/>
      <c r="R57" s="94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8"/>
      <c r="AU57" s="36"/>
    </row>
    <row r="58" spans="2:47" s="100" customFormat="1" ht="25.5" customHeight="1">
      <c r="B58" s="89"/>
      <c r="C58" s="41"/>
      <c r="D58" s="36"/>
      <c r="E58" s="88"/>
      <c r="F58" s="36"/>
      <c r="G58" s="36"/>
      <c r="H58" s="94"/>
      <c r="I58" s="94"/>
      <c r="J58" s="41"/>
      <c r="K58" s="94"/>
      <c r="L58" s="94"/>
      <c r="M58" s="94"/>
      <c r="N58" s="94"/>
      <c r="O58" s="94"/>
      <c r="P58" s="94"/>
      <c r="Q58" s="94"/>
      <c r="R58" s="9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8"/>
      <c r="AU58" s="36"/>
    </row>
    <row r="59" spans="2:47" s="100" customFormat="1" ht="25.5" customHeight="1">
      <c r="B59" s="89"/>
      <c r="C59" s="41"/>
      <c r="D59" s="36"/>
      <c r="E59" s="88"/>
      <c r="F59" s="36"/>
      <c r="G59" s="36"/>
      <c r="H59" s="94"/>
      <c r="I59" s="94"/>
      <c r="J59" s="41"/>
      <c r="K59" s="94"/>
      <c r="L59" s="94"/>
      <c r="M59" s="94"/>
      <c r="N59" s="94"/>
      <c r="O59" s="94"/>
      <c r="P59" s="94"/>
      <c r="Q59" s="94"/>
      <c r="R59" s="94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8"/>
      <c r="AU59" s="36"/>
    </row>
    <row r="60" spans="2:47" s="100" customFormat="1" ht="25.5" customHeight="1">
      <c r="B60" s="89"/>
      <c r="C60" s="41"/>
      <c r="D60" s="36"/>
      <c r="E60" s="88"/>
      <c r="F60" s="36"/>
      <c r="G60" s="36"/>
      <c r="H60" s="94"/>
      <c r="I60" s="94"/>
      <c r="J60" s="41"/>
      <c r="K60" s="94"/>
      <c r="L60" s="94"/>
      <c r="M60" s="94"/>
      <c r="N60" s="94"/>
      <c r="O60" s="94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8"/>
      <c r="AU60" s="36"/>
    </row>
    <row r="61" spans="2:47" s="100" customFormat="1" ht="25.5" customHeight="1">
      <c r="B61" s="89"/>
      <c r="C61" s="41"/>
      <c r="D61" s="36"/>
      <c r="E61" s="88"/>
      <c r="F61" s="36"/>
      <c r="G61" s="36"/>
      <c r="H61" s="94"/>
      <c r="I61" s="94"/>
      <c r="J61" s="41"/>
      <c r="K61" s="94"/>
      <c r="L61" s="94"/>
      <c r="M61" s="94"/>
      <c r="N61" s="94"/>
      <c r="O61" s="94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8"/>
      <c r="AU61" s="36"/>
    </row>
    <row r="62" spans="2:47" s="100" customFormat="1" ht="25.5" customHeight="1">
      <c r="B62" s="89"/>
      <c r="C62" s="41"/>
      <c r="D62" s="36"/>
      <c r="E62" s="88"/>
      <c r="F62" s="36"/>
      <c r="G62" s="36"/>
      <c r="H62" s="94"/>
      <c r="I62" s="94"/>
      <c r="J62" s="41"/>
      <c r="K62" s="94"/>
      <c r="L62" s="94"/>
      <c r="M62" s="94"/>
      <c r="N62" s="94"/>
      <c r="O62" s="94"/>
      <c r="P62" s="94"/>
      <c r="Q62" s="94"/>
      <c r="R62" s="94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8"/>
      <c r="AU62" s="36"/>
    </row>
    <row r="63" spans="2:47" s="100" customFormat="1" ht="25.5" customHeight="1">
      <c r="B63" s="89"/>
      <c r="C63" s="41"/>
      <c r="D63" s="36"/>
      <c r="E63" s="88"/>
      <c r="F63" s="36"/>
      <c r="G63" s="36"/>
      <c r="H63" s="94"/>
      <c r="I63" s="94"/>
      <c r="J63" s="41"/>
      <c r="K63" s="94"/>
      <c r="L63" s="94"/>
      <c r="M63" s="94"/>
      <c r="N63" s="94"/>
      <c r="O63" s="94"/>
      <c r="P63" s="94"/>
      <c r="Q63" s="94"/>
      <c r="R63" s="94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8"/>
      <c r="AU63" s="36"/>
    </row>
    <row r="64" spans="2:47" s="100" customFormat="1" ht="25.5" customHeight="1">
      <c r="B64" s="89"/>
      <c r="C64" s="41"/>
      <c r="D64" s="36"/>
      <c r="E64" s="88"/>
      <c r="F64" s="36"/>
      <c r="G64" s="36"/>
      <c r="H64" s="94"/>
      <c r="I64" s="94"/>
      <c r="J64" s="41"/>
      <c r="K64" s="94"/>
      <c r="L64" s="94"/>
      <c r="M64" s="94"/>
      <c r="N64" s="94"/>
      <c r="O64" s="94"/>
      <c r="P64" s="94"/>
      <c r="Q64" s="94"/>
      <c r="R64" s="94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8"/>
      <c r="AU64" s="36"/>
    </row>
    <row r="65" spans="2:47" s="100" customFormat="1" ht="25.5" customHeight="1">
      <c r="B65" s="89"/>
      <c r="C65" s="41"/>
      <c r="D65" s="36"/>
      <c r="E65" s="88"/>
      <c r="F65" s="36"/>
      <c r="G65" s="36"/>
      <c r="H65" s="94"/>
      <c r="I65" s="94"/>
      <c r="J65" s="41"/>
      <c r="K65" s="94"/>
      <c r="L65" s="94"/>
      <c r="M65" s="94"/>
      <c r="N65" s="94"/>
      <c r="O65" s="94"/>
      <c r="P65" s="94"/>
      <c r="Q65" s="94"/>
      <c r="R65" s="94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8"/>
      <c r="AU65" s="36"/>
    </row>
    <row r="66" spans="2:47" s="100" customFormat="1" ht="25.5" customHeight="1">
      <c r="B66" s="89"/>
      <c r="C66" s="41"/>
      <c r="D66" s="36"/>
      <c r="E66" s="88"/>
      <c r="F66" s="36"/>
      <c r="G66" s="36"/>
      <c r="H66" s="94"/>
      <c r="I66" s="94"/>
      <c r="J66" s="41"/>
      <c r="K66" s="94"/>
      <c r="L66" s="94"/>
      <c r="M66" s="94"/>
      <c r="N66" s="94"/>
      <c r="O66" s="94"/>
      <c r="P66" s="94"/>
      <c r="Q66" s="94"/>
      <c r="R66" s="94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8"/>
      <c r="AU66" s="36"/>
    </row>
    <row r="67" spans="2:47" s="100" customFormat="1" ht="25.5" customHeight="1">
      <c r="B67" s="89"/>
      <c r="C67" s="41"/>
      <c r="D67" s="36"/>
      <c r="E67" s="88"/>
      <c r="F67" s="36"/>
      <c r="G67" s="36"/>
      <c r="H67" s="94"/>
      <c r="I67" s="94"/>
      <c r="J67" s="41"/>
      <c r="K67" s="94"/>
      <c r="L67" s="94"/>
      <c r="M67" s="94"/>
      <c r="N67" s="94"/>
      <c r="O67" s="94"/>
      <c r="P67" s="94"/>
      <c r="Q67" s="94"/>
      <c r="R67" s="94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8"/>
      <c r="AU67" s="36"/>
    </row>
    <row r="68" spans="2:47" s="100" customFormat="1" ht="25.5" customHeight="1">
      <c r="B68" s="89"/>
      <c r="C68" s="41"/>
      <c r="D68" s="36"/>
      <c r="E68" s="88"/>
      <c r="F68" s="36"/>
      <c r="G68" s="36"/>
      <c r="H68" s="94"/>
      <c r="I68" s="94"/>
      <c r="J68" s="41"/>
      <c r="K68" s="94"/>
      <c r="L68" s="94"/>
      <c r="M68" s="94"/>
      <c r="N68" s="94"/>
      <c r="O68" s="94"/>
      <c r="P68" s="94"/>
      <c r="Q68" s="94"/>
      <c r="R68" s="94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8"/>
      <c r="AU68" s="36"/>
    </row>
    <row r="69" spans="2:47" s="100" customFormat="1" ht="25.5" customHeight="1">
      <c r="B69" s="89"/>
      <c r="C69" s="41"/>
      <c r="D69" s="36"/>
      <c r="E69" s="88"/>
      <c r="F69" s="36"/>
      <c r="G69" s="36"/>
      <c r="H69" s="94"/>
      <c r="I69" s="94"/>
      <c r="J69" s="41"/>
      <c r="K69" s="94"/>
      <c r="L69" s="94"/>
      <c r="M69" s="94"/>
      <c r="N69" s="94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8"/>
      <c r="AU69" s="36"/>
    </row>
  </sheetData>
  <sheetProtection/>
  <mergeCells count="3">
    <mergeCell ref="L23:N23"/>
    <mergeCell ref="K24:L24"/>
    <mergeCell ref="T24:U24"/>
  </mergeCells>
  <printOptions/>
  <pageMargins left="0.16" right="0.16" top="0.27" bottom="0.21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2022-11-21T15:28:00Z</cp:lastPrinted>
  <dcterms:created xsi:type="dcterms:W3CDTF">2010-05-25T05:24:31Z</dcterms:created>
  <dcterms:modified xsi:type="dcterms:W3CDTF">2022-11-21T15:36:33Z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