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tabRatio="899" activeTab="1"/>
  </bookViews>
  <sheets>
    <sheet name="R-suplimNOV" sheetId="1" r:id="rId1"/>
    <sheet name="L-suplimNOV" sheetId="2" r:id="rId2"/>
  </sheets>
  <definedNames>
    <definedName name="_xlnm.Print_Area" localSheetId="1">'L-suplimNOV'!$A$1:$BL$29</definedName>
    <definedName name="_xlnm.Print_Area" localSheetId="0">'R-suplimNOV'!$A$1:$BN$25</definedName>
    <definedName name="_xlnm.Print_Titles" localSheetId="1">'L-suplimNOV'!$4:$4</definedName>
    <definedName name="_xlnm.Print_Titles" localSheetId="0">'R-suplimNOV'!$4:$4</definedName>
  </definedNames>
  <calcPr fullCalcOnLoad="1"/>
</workbook>
</file>

<file path=xl/sharedStrings.xml><?xml version="1.0" encoding="utf-8"?>
<sst xmlns="http://schemas.openxmlformats.org/spreadsheetml/2006/main" count="304" uniqueCount="153">
  <si>
    <t xml:space="preserve">Furnizor </t>
  </si>
  <si>
    <t>TOTAL RADIOLOGIE</t>
  </si>
  <si>
    <t>TOTAL I - analize laborator</t>
  </si>
  <si>
    <t>TOTAL II - anatomo-patologie</t>
  </si>
  <si>
    <t>TOTAL I+II - LABORATOARE</t>
  </si>
  <si>
    <t>SC OVIORI SRL - EKO</t>
  </si>
  <si>
    <t>CASA DE ASIGURARI DE SANATATE  BRAILA</t>
  </si>
  <si>
    <t>SC R.I.M. DR BANCEANU ELENA</t>
  </si>
  <si>
    <t>Sp. Judetean - radiologie-imagistica amb.</t>
  </si>
  <si>
    <t>SP de Pneumoftiziologie - rad.ambulator</t>
  </si>
  <si>
    <t xml:space="preserve">Nr furn </t>
  </si>
  <si>
    <t>SC R.I.M. DR. COSMESCU PETRE</t>
  </si>
  <si>
    <t>TOTAL ECOGRAFII + RAD.dentara</t>
  </si>
  <si>
    <t>TOTAL CONTRACTAT (laboratoare+radiologie imagistica)</t>
  </si>
  <si>
    <t>Policlinica copii "VENETIA" - EKO</t>
  </si>
  <si>
    <t>Cytopath S.R.L. Braila (Histopatologie)</t>
  </si>
  <si>
    <t>TOTAL SUME PARACLINICE (laboratoare + radiologie)</t>
  </si>
  <si>
    <t>RADOVA MEDICAL - EKO</t>
  </si>
  <si>
    <t>IAN realizat</t>
  </si>
  <si>
    <t>FEB realizat</t>
  </si>
  <si>
    <t>DR. VODA RALUCA - EKO</t>
  </si>
  <si>
    <t>DR. MARDARE SEBASTIAN -EKO</t>
  </si>
  <si>
    <t>DR CRISTEA ELENA - EKO</t>
  </si>
  <si>
    <t>DR.Stamate Maria-Magdalena- Rad dent.</t>
  </si>
  <si>
    <t>Spital FAUREI - EKO cabinete spec.</t>
  </si>
  <si>
    <t>SP JUDETEAN - EKO cabinete spec.</t>
  </si>
  <si>
    <t>SC DIAMED CENTER S.R.L.</t>
  </si>
  <si>
    <t>MEDCENTER - punct de lucru BRAILA</t>
  </si>
  <si>
    <t>MEDICOTEST</t>
  </si>
  <si>
    <t xml:space="preserve">CMI Varzaru Victoria  </t>
  </si>
  <si>
    <t>SC INVESTIGATII PRAXIS</t>
  </si>
  <si>
    <t>Sp de Pneumoftiziologie - laborator ambulatoriu</t>
  </si>
  <si>
    <t>MAR realizat</t>
  </si>
  <si>
    <t>APR realizat</t>
  </si>
  <si>
    <t>MAI realizat</t>
  </si>
  <si>
    <t>IUN realizat</t>
  </si>
  <si>
    <t>Medie realizari 13 luni (pt cei ce au realizat ctr)</t>
  </si>
  <si>
    <t>% pt Reg=</t>
  </si>
  <si>
    <t>ANEXA 1</t>
  </si>
  <si>
    <t>Suma nerealizata MAR2020(cu - in SIUI)</t>
  </si>
  <si>
    <t>APR reg dupa MAR2020</t>
  </si>
  <si>
    <t>Suma nerealizata APR2020 (cu - in SIUI)</t>
  </si>
  <si>
    <t>Suma pt REZERVA=</t>
  </si>
  <si>
    <t>Suma nerealizata MAI2020 (cu - in SIUI)</t>
  </si>
  <si>
    <t xml:space="preserve">AN 2020 REALIZAT </t>
  </si>
  <si>
    <t>IAN2021</t>
  </si>
  <si>
    <t>Suma nerealizata IAN2021 (cu - in SIUI)</t>
  </si>
  <si>
    <t>FEB2021</t>
  </si>
  <si>
    <t>REG dupa IAN2021</t>
  </si>
  <si>
    <t>FEB reg dupa IAN2021</t>
  </si>
  <si>
    <t>Suma nerealizata FEB2021 (cu - in SIUI)</t>
  </si>
  <si>
    <t>MAR2021</t>
  </si>
  <si>
    <t>suplim Monitor=</t>
  </si>
  <si>
    <t xml:space="preserve">TRIM I 2021 </t>
  </si>
  <si>
    <r>
      <t xml:space="preserve">SITUATIE SUME CONTRACTATE INVESTIGATII PARACLINICE - </t>
    </r>
    <r>
      <rPr>
        <b/>
        <u val="single"/>
        <sz val="12"/>
        <rFont val="TimesRomanR"/>
        <family val="0"/>
      </rPr>
      <t>analize de laborator</t>
    </r>
    <r>
      <rPr>
        <b/>
        <sz val="12"/>
        <rFont val="TimesRomanR"/>
        <family val="0"/>
      </rPr>
      <t xml:space="preserve"> - AN 2021</t>
    </r>
  </si>
  <si>
    <r>
      <t xml:space="preserve">SITUATIE SUME CONTRACTATE INVESTIGATII PARACLINICE - </t>
    </r>
    <r>
      <rPr>
        <b/>
        <u val="single"/>
        <sz val="12"/>
        <rFont val="TimesRomanR"/>
        <family val="0"/>
      </rPr>
      <t>radiologie -imagistica</t>
    </r>
    <r>
      <rPr>
        <b/>
        <sz val="12"/>
        <rFont val="TimesRomanR"/>
        <family val="0"/>
      </rPr>
      <t xml:space="preserve"> - AN 2021</t>
    </r>
  </si>
  <si>
    <t>din care: COVID = 6109,17 lei  si ONCO+DIABET = 66183,90 lei</t>
  </si>
  <si>
    <t>Pentru rezerva =</t>
  </si>
  <si>
    <t>Suplimentare Monitorizari FEB2021=</t>
  </si>
  <si>
    <t>suplim Monitor IAN2021=</t>
  </si>
  <si>
    <t>TOTAL suplim Monitorizari=</t>
  </si>
  <si>
    <t xml:space="preserve">Rezerva = </t>
  </si>
  <si>
    <t xml:space="preserve">CONTRACTAT pt IAN+FEB+MAR = </t>
  </si>
  <si>
    <t>Suplimentari acordate pt MONITORIZARI =</t>
  </si>
  <si>
    <t>Verificare =</t>
  </si>
  <si>
    <t>TOTAL Suplimentare Monitorizari FEB2021=</t>
  </si>
  <si>
    <t>TRIM II 2021</t>
  </si>
  <si>
    <t>APR.2021</t>
  </si>
  <si>
    <t>MAI2021</t>
  </si>
  <si>
    <t>IUN2021</t>
  </si>
  <si>
    <t>TOTAL RADIOLOGIE-IMAGISTICA</t>
  </si>
  <si>
    <t xml:space="preserve">APR+MAI = </t>
  </si>
  <si>
    <t>suplim Monitor MAR2021=</t>
  </si>
  <si>
    <t>din care: Covid = 518,92 /Onco = 20074,44 / Diab = 3521,86</t>
  </si>
  <si>
    <t>TOTAL Suplimentare Monitorizari MAR2021=</t>
  </si>
  <si>
    <t>din care: Covid = 6389,92 /Onco = 112013,47 / Diab = 3521,86</t>
  </si>
  <si>
    <t>Medie realizari 3 luni (pt cei ce au realizat ctr)</t>
  </si>
  <si>
    <t>REG dupa MARTIE2021</t>
  </si>
  <si>
    <t>Pentru regularizare =</t>
  </si>
  <si>
    <t>din care: Covid = 5871 /Onco = 91939,03</t>
  </si>
  <si>
    <t>suplim Monitor APR2021=</t>
  </si>
  <si>
    <t>Suma nerealizata MAR2021(cu - in SIUI)</t>
  </si>
  <si>
    <t>Suma nerealizata APR2021 (cu - in SIUI)</t>
  </si>
  <si>
    <t>din care: Covid = 6612,23 /Onco = 106697,59 / Diab = 3014,92</t>
  </si>
  <si>
    <t>suplim Monitor MAI2021=</t>
  </si>
  <si>
    <t>Suma pt REZERVA dupa MAI=</t>
  </si>
  <si>
    <t>Suma nerealizata MAI2021 (cu - in SIUI)</t>
  </si>
  <si>
    <t>Suma nerealizata IUN2021 (cu - in SIUI)</t>
  </si>
  <si>
    <t>IUL2021</t>
  </si>
  <si>
    <t>Monitorizari (cu + in SIUI)</t>
  </si>
  <si>
    <t>suplim Monitor IUN2021=</t>
  </si>
  <si>
    <t>din care: Covid = 2182,35 / Onco = 16694,85 / Diab = 5255,77</t>
  </si>
  <si>
    <t>din care: Covid = 5792 / Onco = 86812,76</t>
  </si>
  <si>
    <t>Suma pt REZERVA dupa IUN=</t>
  </si>
  <si>
    <t>Rez dupa MAI+IUN</t>
  </si>
  <si>
    <t>AUG2021</t>
  </si>
  <si>
    <t>SEP2021</t>
  </si>
  <si>
    <t>OCT2021</t>
  </si>
  <si>
    <t>NOV2021</t>
  </si>
  <si>
    <t>Suma pt AUG-DEC</t>
  </si>
  <si>
    <t>SC NEWVITALCLINIC SRL</t>
  </si>
  <si>
    <t>DEC 2021</t>
  </si>
  <si>
    <t xml:space="preserve">CA / AN 2021 = </t>
  </si>
  <si>
    <t>Diferenta =</t>
  </si>
  <si>
    <t>IUL2021 realizat</t>
  </si>
  <si>
    <t>Suma nerealizata IUL2021 (cu - in SIUI)sau Monitorizari (cu +)</t>
  </si>
  <si>
    <t>suplim Monitor IUL2021=</t>
  </si>
  <si>
    <t>IUL din care: Covid = 786,22 / Onco = 16540,6 / Diab = 4273,33 / Cardio=309,78</t>
  </si>
  <si>
    <t>AN 2021 contractat cu Monitorizari</t>
  </si>
  <si>
    <t>Suma totala pt REZERVA=</t>
  </si>
  <si>
    <t>pt Onco!</t>
  </si>
  <si>
    <t>Reg dupa IUL</t>
  </si>
  <si>
    <t xml:space="preserve">Procent pt Reg = </t>
  </si>
  <si>
    <t>Medie lunara(pt cei ce au realizat ctr)</t>
  </si>
  <si>
    <t>AUG reg dupa IUL</t>
  </si>
  <si>
    <t>Pt REG =</t>
  </si>
  <si>
    <t>AUG2021 realizat</t>
  </si>
  <si>
    <t>Suma nerealizata AUG2021 (cu - in SIUI)sau Monitorizari (cu +)</t>
  </si>
  <si>
    <t>Reg dupa AUG</t>
  </si>
  <si>
    <t>Suma veche pt REZERVA=</t>
  </si>
  <si>
    <t>SEP reg dupa aug</t>
  </si>
  <si>
    <t>Suma pt Regularizare=</t>
  </si>
  <si>
    <t>suplim Monitor AUG2021=</t>
  </si>
  <si>
    <t>din care: Onco =62634,66</t>
  </si>
  <si>
    <t>din care: Onco = 21310,95 / Diab = 5424,19 / Neuro=337,94</t>
  </si>
  <si>
    <t>Suplim AN2021, din care:</t>
  </si>
  <si>
    <t>pt SEPT</t>
  </si>
  <si>
    <t>pt OCT</t>
  </si>
  <si>
    <t>pt NOV</t>
  </si>
  <si>
    <t>SEPT suplim</t>
  </si>
  <si>
    <t>OCT suplim</t>
  </si>
  <si>
    <t>NOV suplim</t>
  </si>
  <si>
    <t xml:space="preserve"> CA / 9 LUNI = </t>
  </si>
  <si>
    <t xml:space="preserve">CA din FB = </t>
  </si>
  <si>
    <t xml:space="preserve">CA / TR4 = </t>
  </si>
  <si>
    <t xml:space="preserve">DIFER = </t>
  </si>
  <si>
    <t>SEP2021 realizat</t>
  </si>
  <si>
    <t>Suma nerealizata SEP2021 (cu - in SIUI)sau Monitorizari (cu +)</t>
  </si>
  <si>
    <t>Reg dupa SEP</t>
  </si>
  <si>
    <t>OCT reg dupa sep</t>
  </si>
  <si>
    <t>TRIM III 2021 realizat</t>
  </si>
  <si>
    <t xml:space="preserve">AN 2021 REALIZAT dupa 9 luni </t>
  </si>
  <si>
    <t>Nov 2021</t>
  </si>
  <si>
    <t>suplim Monitor SEP2021=</t>
  </si>
  <si>
    <t xml:space="preserve">% pt Reg = </t>
  </si>
  <si>
    <t>Suma pt AA  de REG din OCT</t>
  </si>
  <si>
    <t xml:space="preserve">CA / 9LUNI = </t>
  </si>
  <si>
    <t>Suplim 2 / 2021</t>
  </si>
  <si>
    <t>NOV suplim2</t>
  </si>
  <si>
    <t>DEC  suplim</t>
  </si>
  <si>
    <t>TRIM IV 2021 dupa suplimentare 2</t>
  </si>
  <si>
    <t>NOV suplim1</t>
  </si>
  <si>
    <t xml:space="preserve">VENETIA MEDICAL 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</si>
</sst>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#,##0.000"/>
    <numFmt numFmtId="166" formatCode="#,##0.000000"/>
    <numFmt numFmtId="167" formatCode="#,##0.00000"/>
    <numFmt numFmtId="168" formatCode="#,##0.0000000"/>
    <numFmt numFmtId="169" formatCode="#,##0.00000000"/>
  </numFmts>
  <fonts count="55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b/>
      <sz val="12"/>
      <name val="TimesRomanR"/>
      <family val="0"/>
    </font>
    <font>
      <i/>
      <sz val="10"/>
      <name val="TimesRomanR"/>
      <family val="0"/>
    </font>
    <font>
      <b/>
      <i/>
      <sz val="10"/>
      <name val="TimesRomanR"/>
      <family val="0"/>
    </font>
    <font>
      <b/>
      <sz val="10"/>
      <name val="TimesRomanR"/>
      <family val="0"/>
    </font>
    <font>
      <b/>
      <sz val="8"/>
      <name val="TimesRomanR"/>
      <family val="0"/>
    </font>
    <font>
      <b/>
      <sz val="9"/>
      <name val="TimesRomanR"/>
      <family val="0"/>
    </font>
    <font>
      <sz val="8"/>
      <name val="TimesRomanR"/>
      <family val="0"/>
    </font>
    <font>
      <b/>
      <i/>
      <sz val="9"/>
      <name val="TimesRomanR"/>
      <family val="0"/>
    </font>
    <font>
      <sz val="9"/>
      <name val="TimesRomanR"/>
      <family val="0"/>
    </font>
    <font>
      <i/>
      <sz val="9"/>
      <name val="TimesRomanR"/>
      <family val="0"/>
    </font>
    <font>
      <b/>
      <u val="single"/>
      <sz val="12"/>
      <name val="TimesRomanR"/>
      <family val="0"/>
    </font>
    <font>
      <b/>
      <sz val="11"/>
      <name val="TimesRomanR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color indexed="8"/>
      <name val="TimesRomanR"/>
      <family val="0"/>
    </font>
    <font>
      <b/>
      <i/>
      <sz val="8"/>
      <name val="TimesRoman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TimesRomanR"/>
      <family val="0"/>
    </font>
    <font>
      <b/>
      <sz val="10"/>
      <color indexed="9"/>
      <name val="TimesRomanR"/>
      <family val="0"/>
    </font>
    <font>
      <sz val="10"/>
      <color indexed="9"/>
      <name val="TimesRomanR"/>
      <family val="0"/>
    </font>
    <font>
      <sz val="8"/>
      <color indexed="9"/>
      <name val="TimesRomanR"/>
      <family val="0"/>
    </font>
    <font>
      <b/>
      <sz val="9"/>
      <color indexed="9"/>
      <name val="TimesRomanR"/>
      <family val="0"/>
    </font>
    <font>
      <sz val="10"/>
      <color indexed="8"/>
      <name val="TimesRomanR"/>
      <family val="0"/>
    </font>
    <font>
      <b/>
      <sz val="8"/>
      <color indexed="8"/>
      <name val="TimesRomanR"/>
      <family val="0"/>
    </font>
    <font>
      <b/>
      <i/>
      <sz val="7"/>
      <name val="TimesRomanR"/>
      <family val="0"/>
    </font>
    <font>
      <sz val="11"/>
      <name val="TimesRomanR"/>
      <family val="0"/>
    </font>
    <font>
      <i/>
      <sz val="11"/>
      <name val="TimesRomanR"/>
      <family val="0"/>
    </font>
    <font>
      <b/>
      <i/>
      <sz val="12"/>
      <name val="TimesRomanR"/>
      <family val="0"/>
    </font>
    <font>
      <b/>
      <sz val="14"/>
      <name val="TimesRomanR"/>
      <family val="0"/>
    </font>
    <font>
      <b/>
      <i/>
      <sz val="6"/>
      <name val="TimesRomanR"/>
      <family val="0"/>
    </font>
    <font>
      <b/>
      <sz val="6"/>
      <name val="TimesRomanR"/>
      <family val="0"/>
    </font>
    <font>
      <b/>
      <i/>
      <sz val="8"/>
      <color indexed="9"/>
      <name val="TimesRomanR"/>
      <family val="0"/>
    </font>
    <font>
      <b/>
      <i/>
      <sz val="6"/>
      <color indexed="9"/>
      <name val="TimesRomanR"/>
      <family val="0"/>
    </font>
    <font>
      <b/>
      <i/>
      <sz val="10"/>
      <color indexed="9"/>
      <name val="TimesRomanR"/>
      <family val="0"/>
    </font>
    <font>
      <b/>
      <sz val="12"/>
      <color indexed="8"/>
      <name val="TimesRomanR"/>
      <family val="0"/>
    </font>
    <font>
      <b/>
      <sz val="11"/>
      <color indexed="8"/>
      <name val="TimesRoman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0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4" fontId="4" fillId="0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1" fontId="1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4" fontId="10" fillId="22" borderId="11" xfId="0" applyNumberFormat="1" applyFont="1" applyFill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8" fillId="0" borderId="13" xfId="0" applyNumberFormat="1" applyFont="1" applyBorder="1" applyAlignment="1" quotePrefix="1">
      <alignment horizontal="center" vertical="center" wrapText="1"/>
    </xf>
    <xf numFmtId="4" fontId="8" fillId="0" borderId="11" xfId="0" applyNumberFormat="1" applyFont="1" applyBorder="1" applyAlignment="1" quotePrefix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7" fillId="0" borderId="0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0" borderId="16" xfId="0" applyNumberFormat="1" applyFont="1" applyFill="1" applyBorder="1" applyAlignment="1">
      <alignment wrapText="1"/>
    </xf>
    <xf numFmtId="4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right" wrapText="1"/>
    </xf>
    <xf numFmtId="4" fontId="1" fillId="0" borderId="16" xfId="0" applyNumberFormat="1" applyFont="1" applyFill="1" applyBorder="1" applyAlignment="1">
      <alignment horizontal="right" wrapText="1"/>
    </xf>
    <xf numFmtId="4" fontId="1" fillId="0" borderId="17" xfId="0" applyNumberFormat="1" applyFont="1" applyFill="1" applyBorder="1" applyAlignment="1">
      <alignment horizontal="right" wrapText="1"/>
    </xf>
    <xf numFmtId="4" fontId="6" fillId="7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4" fontId="8" fillId="22" borderId="13" xfId="0" applyNumberFormat="1" applyFont="1" applyFill="1" applyBorder="1" applyAlignment="1">
      <alignment horizontal="center" vertical="center" wrapText="1"/>
    </xf>
    <xf numFmtId="4" fontId="1" fillId="22" borderId="15" xfId="0" applyNumberFormat="1" applyFont="1" applyFill="1" applyBorder="1" applyAlignment="1">
      <alignment wrapText="1"/>
    </xf>
    <xf numFmtId="4" fontId="1" fillId="22" borderId="16" xfId="0" applyNumberFormat="1" applyFont="1" applyFill="1" applyBorder="1" applyAlignment="1">
      <alignment wrapText="1"/>
    </xf>
    <xf numFmtId="4" fontId="1" fillId="22" borderId="17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4" fontId="5" fillId="3" borderId="11" xfId="0" applyNumberFormat="1" applyFont="1" applyFill="1" applyBorder="1" applyAlignment="1">
      <alignment horizontal="center" wrapText="1"/>
    </xf>
    <xf numFmtId="4" fontId="5" fillId="3" borderId="13" xfId="0" applyNumberFormat="1" applyFont="1" applyFill="1" applyBorder="1" applyAlignment="1">
      <alignment horizontal="center" wrapText="1"/>
    </xf>
    <xf numFmtId="4" fontId="1" fillId="22" borderId="15" xfId="0" applyNumberFormat="1" applyFont="1" applyFill="1" applyBorder="1" applyAlignment="1">
      <alignment horizontal="right" wrapText="1"/>
    </xf>
    <xf numFmtId="4" fontId="1" fillId="22" borderId="18" xfId="0" applyNumberFormat="1" applyFont="1" applyFill="1" applyBorder="1" applyAlignment="1">
      <alignment horizontal="right" wrapText="1"/>
    </xf>
    <xf numFmtId="4" fontId="1" fillId="22" borderId="16" xfId="0" applyNumberFormat="1" applyFont="1" applyFill="1" applyBorder="1" applyAlignment="1">
      <alignment horizontal="right" wrapText="1"/>
    </xf>
    <xf numFmtId="4" fontId="6" fillId="3" borderId="19" xfId="0" applyNumberFormat="1" applyFont="1" applyFill="1" applyBorder="1" applyAlignment="1">
      <alignment horizontal="right" wrapText="1"/>
    </xf>
    <xf numFmtId="4" fontId="6" fillId="3" borderId="20" xfId="0" applyNumberFormat="1" applyFont="1" applyFill="1" applyBorder="1" applyAlignment="1">
      <alignment horizontal="right" wrapText="1"/>
    </xf>
    <xf numFmtId="4" fontId="6" fillId="3" borderId="21" xfId="0" applyNumberFormat="1" applyFont="1" applyFill="1" applyBorder="1" applyAlignment="1">
      <alignment horizontal="right" wrapText="1"/>
    </xf>
    <xf numFmtId="4" fontId="6" fillId="0" borderId="22" xfId="0" applyNumberFormat="1" applyFont="1" applyFill="1" applyBorder="1" applyAlignment="1">
      <alignment/>
    </xf>
    <xf numFmtId="4" fontId="5" fillId="3" borderId="23" xfId="0" applyNumberFormat="1" applyFont="1" applyFill="1" applyBorder="1" applyAlignment="1">
      <alignment horizontal="center" wrapText="1"/>
    </xf>
    <xf numFmtId="4" fontId="5" fillId="3" borderId="24" xfId="0" applyNumberFormat="1" applyFont="1" applyFill="1" applyBorder="1" applyAlignment="1">
      <alignment horizontal="center" wrapText="1"/>
    </xf>
    <xf numFmtId="4" fontId="1" fillId="0" borderId="25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wrapText="1"/>
    </xf>
    <xf numFmtId="4" fontId="1" fillId="22" borderId="18" xfId="0" applyNumberFormat="1" applyFont="1" applyFill="1" applyBorder="1" applyAlignment="1">
      <alignment wrapText="1"/>
    </xf>
    <xf numFmtId="4" fontId="1" fillId="0" borderId="18" xfId="0" applyNumberFormat="1" applyFont="1" applyFill="1" applyBorder="1" applyAlignment="1">
      <alignment wrapText="1"/>
    </xf>
    <xf numFmtId="4" fontId="5" fillId="22" borderId="24" xfId="0" applyNumberFormat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2" fontId="14" fillId="0" borderId="13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4" fontId="6" fillId="0" borderId="27" xfId="0" applyNumberFormat="1" applyFont="1" applyFill="1" applyBorder="1" applyAlignment="1">
      <alignment/>
    </xf>
    <xf numFmtId="4" fontId="6" fillId="22" borderId="28" xfId="0" applyNumberFormat="1" applyFont="1" applyFill="1" applyBorder="1" applyAlignment="1">
      <alignment/>
    </xf>
    <xf numFmtId="4" fontId="6" fillId="0" borderId="29" xfId="0" applyNumberFormat="1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right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7" borderId="28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/>
    </xf>
    <xf numFmtId="4" fontId="1" fillId="22" borderId="19" xfId="0" applyNumberFormat="1" applyFont="1" applyFill="1" applyBorder="1" applyAlignment="1">
      <alignment horizontal="right" wrapText="1"/>
    </xf>
    <xf numFmtId="4" fontId="6" fillId="7" borderId="32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wrapText="1"/>
    </xf>
    <xf numFmtId="4" fontId="6" fillId="24" borderId="19" xfId="0" applyNumberFormat="1" applyFont="1" applyFill="1" applyBorder="1" applyAlignment="1">
      <alignment wrapText="1"/>
    </xf>
    <xf numFmtId="4" fontId="6" fillId="24" borderId="20" xfId="0" applyNumberFormat="1" applyFont="1" applyFill="1" applyBorder="1" applyAlignment="1">
      <alignment wrapText="1"/>
    </xf>
    <xf numFmtId="4" fontId="1" fillId="22" borderId="19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/>
    </xf>
    <xf numFmtId="4" fontId="6" fillId="22" borderId="22" xfId="0" applyNumberFormat="1" applyFont="1" applyFill="1" applyBorder="1" applyAlignment="1">
      <alignment/>
    </xf>
    <xf numFmtId="4" fontId="6" fillId="7" borderId="11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 wrapText="1"/>
    </xf>
    <xf numFmtId="4" fontId="1" fillId="0" borderId="33" xfId="0" applyNumberFormat="1" applyFont="1" applyFill="1" applyBorder="1" applyAlignment="1">
      <alignment wrapText="1"/>
    </xf>
    <xf numFmtId="4" fontId="1" fillId="0" borderId="34" xfId="0" applyNumberFormat="1" applyFont="1" applyFill="1" applyBorder="1" applyAlignment="1">
      <alignment wrapText="1"/>
    </xf>
    <xf numFmtId="4" fontId="1" fillId="0" borderId="35" xfId="0" applyNumberFormat="1" applyFont="1" applyFill="1" applyBorder="1" applyAlignment="1">
      <alignment wrapText="1"/>
    </xf>
    <xf numFmtId="4" fontId="1" fillId="0" borderId="36" xfId="0" applyNumberFormat="1" applyFont="1" applyFill="1" applyBorder="1" applyAlignment="1">
      <alignment wrapText="1"/>
    </xf>
    <xf numFmtId="4" fontId="6" fillId="24" borderId="37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left" wrapText="1"/>
    </xf>
    <xf numFmtId="4" fontId="6" fillId="0" borderId="14" xfId="0" applyNumberFormat="1" applyFont="1" applyFill="1" applyBorder="1" applyAlignment="1">
      <alignment wrapText="1"/>
    </xf>
    <xf numFmtId="4" fontId="6" fillId="22" borderId="11" xfId="0" applyNumberFormat="1" applyFont="1" applyFill="1" applyBorder="1" applyAlignment="1">
      <alignment horizontal="center" vertical="center" wrapText="1"/>
    </xf>
    <xf numFmtId="4" fontId="6" fillId="22" borderId="14" xfId="0" applyNumberFormat="1" applyFont="1" applyFill="1" applyBorder="1" applyAlignment="1">
      <alignment wrapText="1"/>
    </xf>
    <xf numFmtId="4" fontId="6" fillId="22" borderId="25" xfId="0" applyNumberFormat="1" applyFont="1" applyFill="1" applyBorder="1" applyAlignment="1">
      <alignment wrapText="1"/>
    </xf>
    <xf numFmtId="4" fontId="6" fillId="0" borderId="37" xfId="0" applyNumberFormat="1" applyFont="1" applyFill="1" applyBorder="1" applyAlignment="1">
      <alignment/>
    </xf>
    <xf numFmtId="4" fontId="6" fillId="22" borderId="37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 wrapText="1"/>
    </xf>
    <xf numFmtId="4" fontId="1" fillId="22" borderId="14" xfId="0" applyNumberFormat="1" applyFont="1" applyFill="1" applyBorder="1" applyAlignment="1">
      <alignment wrapText="1"/>
    </xf>
    <xf numFmtId="4" fontId="1" fillId="22" borderId="38" xfId="0" applyNumberFormat="1" applyFont="1" applyFill="1" applyBorder="1" applyAlignment="1">
      <alignment wrapText="1"/>
    </xf>
    <xf numFmtId="4" fontId="1" fillId="22" borderId="20" xfId="0" applyNumberFormat="1" applyFont="1" applyFill="1" applyBorder="1" applyAlignment="1">
      <alignment wrapText="1"/>
    </xf>
    <xf numFmtId="4" fontId="4" fillId="22" borderId="19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4" fontId="6" fillId="0" borderId="11" xfId="0" applyNumberFormat="1" applyFont="1" applyFill="1" applyBorder="1" applyAlignment="1">
      <alignment/>
    </xf>
    <xf numFmtId="1" fontId="6" fillId="22" borderId="11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6" fillId="21" borderId="14" xfId="0" applyNumberFormat="1" applyFont="1" applyFill="1" applyBorder="1" applyAlignment="1">
      <alignment wrapText="1"/>
    </xf>
    <xf numFmtId="4" fontId="37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/>
    </xf>
    <xf numFmtId="1" fontId="9" fillId="0" borderId="13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6" fillId="0" borderId="19" xfId="0" applyNumberFormat="1" applyFont="1" applyFill="1" applyBorder="1" applyAlignment="1">
      <alignment wrapText="1"/>
    </xf>
    <xf numFmtId="4" fontId="6" fillId="22" borderId="40" xfId="0" applyNumberFormat="1" applyFont="1" applyFill="1" applyBorder="1" applyAlignment="1">
      <alignment wrapText="1"/>
    </xf>
    <xf numFmtId="4" fontId="6" fillId="22" borderId="16" xfId="0" applyNumberFormat="1" applyFont="1" applyFill="1" applyBorder="1" applyAlignment="1">
      <alignment wrapText="1"/>
    </xf>
    <xf numFmtId="4" fontId="37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wrapText="1"/>
    </xf>
    <xf numFmtId="4" fontId="1" fillId="0" borderId="25" xfId="0" applyNumberFormat="1" applyFont="1" applyBorder="1" applyAlignment="1">
      <alignment wrapText="1"/>
    </xf>
    <xf numFmtId="0" fontId="14" fillId="0" borderId="0" xfId="0" applyFont="1" applyAlignment="1">
      <alignment/>
    </xf>
    <xf numFmtId="4" fontId="36" fillId="3" borderId="11" xfId="0" applyNumberFormat="1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/>
    </xf>
    <xf numFmtId="4" fontId="38" fillId="0" borderId="0" xfId="0" applyNumberFormat="1" applyFont="1" applyFill="1" applyBorder="1" applyAlignment="1">
      <alignment horizontal="right"/>
    </xf>
    <xf numFmtId="4" fontId="39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 quotePrefix="1">
      <alignment horizontal="center"/>
    </xf>
    <xf numFmtId="4" fontId="5" fillId="0" borderId="0" xfId="0" applyNumberFormat="1" applyFont="1" applyFill="1" applyBorder="1" applyAlignment="1" quotePrefix="1">
      <alignment horizontal="right"/>
    </xf>
    <xf numFmtId="0" fontId="37" fillId="0" borderId="0" xfId="0" applyFont="1" applyFill="1" applyBorder="1" applyAlignment="1">
      <alignment horizontal="right" wrapText="1"/>
    </xf>
    <xf numFmtId="4" fontId="37" fillId="0" borderId="0" xfId="0" applyNumberFormat="1" applyFont="1" applyFill="1" applyBorder="1" applyAlignment="1">
      <alignment horizontal="left" wrapText="1"/>
    </xf>
    <xf numFmtId="1" fontId="6" fillId="0" borderId="41" xfId="0" applyNumberFormat="1" applyFont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44" xfId="0" applyFont="1" applyFill="1" applyBorder="1" applyAlignment="1">
      <alignment horizontal="left" vertical="center" wrapText="1"/>
    </xf>
    <xf numFmtId="0" fontId="6" fillId="3" borderId="45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64" fontId="8" fillId="7" borderId="13" xfId="0" applyNumberFormat="1" applyFont="1" applyFill="1" applyBorder="1" applyAlignment="1">
      <alignment/>
    </xf>
    <xf numFmtId="1" fontId="6" fillId="5" borderId="13" xfId="0" applyNumberFormat="1" applyFont="1" applyFill="1" applyBorder="1" applyAlignment="1">
      <alignment horizontal="center" vertical="center" wrapText="1"/>
    </xf>
    <xf numFmtId="4" fontId="14" fillId="8" borderId="14" xfId="0" applyNumberFormat="1" applyFont="1" applyFill="1" applyBorder="1" applyAlignment="1">
      <alignment wrapText="1"/>
    </xf>
    <xf numFmtId="4" fontId="8" fillId="7" borderId="46" xfId="0" applyNumberFormat="1" applyFont="1" applyFill="1" applyBorder="1" applyAlignment="1">
      <alignment horizontal="center" wrapText="1"/>
    </xf>
    <xf numFmtId="4" fontId="6" fillId="8" borderId="19" xfId="0" applyNumberFormat="1" applyFont="1" applyFill="1" applyBorder="1" applyAlignment="1">
      <alignment wrapText="1"/>
    </xf>
    <xf numFmtId="4" fontId="6" fillId="8" borderId="20" xfId="0" applyNumberFormat="1" applyFont="1" applyFill="1" applyBorder="1" applyAlignment="1">
      <alignment wrapText="1"/>
    </xf>
    <xf numFmtId="166" fontId="8" fillId="7" borderId="11" xfId="0" applyNumberFormat="1" applyFont="1" applyFill="1" applyBorder="1" applyAlignment="1">
      <alignment horizontal="right" wrapText="1"/>
    </xf>
    <xf numFmtId="4" fontId="6" fillId="0" borderId="32" xfId="0" applyNumberFormat="1" applyFont="1" applyFill="1" applyBorder="1" applyAlignment="1">
      <alignment/>
    </xf>
    <xf numFmtId="1" fontId="6" fillId="7" borderId="11" xfId="0" applyNumberFormat="1" applyFont="1" applyFill="1" applyBorder="1" applyAlignment="1">
      <alignment horizontal="center" vertical="center" wrapText="1"/>
    </xf>
    <xf numFmtId="4" fontId="6" fillId="5" borderId="47" xfId="0" applyNumberFormat="1" applyFont="1" applyFill="1" applyBorder="1" applyAlignment="1">
      <alignment/>
    </xf>
    <xf numFmtId="4" fontId="18" fillId="7" borderId="11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4" fontId="5" fillId="7" borderId="11" xfId="0" applyNumberFormat="1" applyFont="1" applyFill="1" applyBorder="1" applyAlignment="1">
      <alignment horizontal="center" wrapText="1"/>
    </xf>
    <xf numFmtId="1" fontId="6" fillId="5" borderId="11" xfId="0" applyNumberFormat="1" applyFont="1" applyFill="1" applyBorder="1" applyAlignment="1">
      <alignment horizontal="center" vertical="center" wrapText="1"/>
    </xf>
    <xf numFmtId="4" fontId="1" fillId="5" borderId="14" xfId="0" applyNumberFormat="1" applyFont="1" applyFill="1" applyBorder="1" applyAlignment="1">
      <alignment wrapText="1"/>
    </xf>
    <xf numFmtId="4" fontId="6" fillId="5" borderId="37" xfId="0" applyNumberFormat="1" applyFont="1" applyFill="1" applyBorder="1" applyAlignment="1">
      <alignment/>
    </xf>
    <xf numFmtId="4" fontId="6" fillId="3" borderId="40" xfId="0" applyNumberFormat="1" applyFont="1" applyFill="1" applyBorder="1" applyAlignment="1">
      <alignment horizontal="right" wrapText="1"/>
    </xf>
    <xf numFmtId="4" fontId="6" fillId="3" borderId="48" xfId="0" applyNumberFormat="1" applyFont="1" applyFill="1" applyBorder="1" applyAlignment="1">
      <alignment horizontal="right" wrapText="1"/>
    </xf>
    <xf numFmtId="4" fontId="6" fillId="3" borderId="39" xfId="0" applyNumberFormat="1" applyFont="1" applyFill="1" applyBorder="1" applyAlignment="1">
      <alignment horizontal="right" wrapText="1"/>
    </xf>
    <xf numFmtId="4" fontId="4" fillId="0" borderId="39" xfId="0" applyNumberFormat="1" applyFont="1" applyFill="1" applyBorder="1" applyAlignment="1">
      <alignment wrapText="1"/>
    </xf>
    <xf numFmtId="4" fontId="6" fillId="0" borderId="11" xfId="0" applyNumberFormat="1" applyFont="1" applyFill="1" applyBorder="1" applyAlignment="1" quotePrefix="1">
      <alignment horizontal="center" vertical="center" wrapText="1"/>
    </xf>
    <xf numFmtId="4" fontId="1" fillId="5" borderId="49" xfId="0" applyNumberFormat="1" applyFont="1" applyFill="1" applyBorder="1" applyAlignment="1">
      <alignment wrapText="1"/>
    </xf>
    <xf numFmtId="4" fontId="18" fillId="0" borderId="0" xfId="0" applyNumberFormat="1" applyFont="1" applyFill="1" applyBorder="1" applyAlignment="1">
      <alignment horizontal="center" wrapText="1"/>
    </xf>
    <xf numFmtId="4" fontId="18" fillId="25" borderId="0" xfId="0" applyNumberFormat="1" applyFont="1" applyFill="1" applyBorder="1" applyAlignment="1">
      <alignment horizontal="center" wrapText="1"/>
    </xf>
    <xf numFmtId="4" fontId="6" fillId="7" borderId="37" xfId="0" applyNumberFormat="1" applyFont="1" applyFill="1" applyBorder="1" applyAlignment="1">
      <alignment/>
    </xf>
    <xf numFmtId="4" fontId="18" fillId="7" borderId="13" xfId="0" applyNumberFormat="1" applyFont="1" applyFill="1" applyBorder="1" applyAlignment="1">
      <alignment horizontal="center" wrapText="1"/>
    </xf>
    <xf numFmtId="4" fontId="18" fillId="7" borderId="0" xfId="0" applyNumberFormat="1" applyFont="1" applyFill="1" applyBorder="1" applyAlignment="1">
      <alignment horizontal="center" wrapText="1"/>
    </xf>
    <xf numFmtId="4" fontId="1" fillId="0" borderId="37" xfId="0" applyNumberFormat="1" applyFont="1" applyFill="1" applyBorder="1" applyAlignment="1">
      <alignment/>
    </xf>
    <xf numFmtId="4" fontId="6" fillId="21" borderId="20" xfId="0" applyNumberFormat="1" applyFont="1" applyFill="1" applyBorder="1" applyAlignment="1">
      <alignment wrapText="1"/>
    </xf>
    <xf numFmtId="4" fontId="6" fillId="21" borderId="19" xfId="0" applyNumberFormat="1" applyFont="1" applyFill="1" applyBorder="1" applyAlignment="1">
      <alignment wrapText="1"/>
    </xf>
    <xf numFmtId="4" fontId="5" fillId="7" borderId="46" xfId="0" applyNumberFormat="1" applyFont="1" applyFill="1" applyBorder="1" applyAlignment="1">
      <alignment horizontal="center" wrapText="1"/>
    </xf>
    <xf numFmtId="4" fontId="10" fillId="3" borderId="13" xfId="0" applyNumberFormat="1" applyFont="1" applyFill="1" applyBorder="1" applyAlignment="1">
      <alignment horizontal="center" wrapText="1"/>
    </xf>
    <xf numFmtId="4" fontId="6" fillId="5" borderId="15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4" fontId="6" fillId="7" borderId="21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4" fontId="6" fillId="24" borderId="40" xfId="0" applyNumberFormat="1" applyFont="1" applyFill="1" applyBorder="1" applyAlignment="1">
      <alignment wrapText="1"/>
    </xf>
    <xf numFmtId="4" fontId="6" fillId="24" borderId="16" xfId="0" applyNumberFormat="1" applyFont="1" applyFill="1" applyBorder="1" applyAlignment="1">
      <alignment wrapText="1"/>
    </xf>
    <xf numFmtId="3" fontId="6" fillId="0" borderId="0" xfId="0" applyNumberFormat="1" applyFont="1" applyAlignment="1">
      <alignment/>
    </xf>
    <xf numFmtId="0" fontId="40" fillId="0" borderId="0" xfId="0" applyFont="1" applyFill="1" applyBorder="1" applyAlignment="1">
      <alignment wrapText="1"/>
    </xf>
    <xf numFmtId="0" fontId="6" fillId="20" borderId="31" xfId="0" applyFont="1" applyFill="1" applyBorder="1" applyAlignment="1">
      <alignment horizontal="right"/>
    </xf>
    <xf numFmtId="4" fontId="6" fillId="20" borderId="50" xfId="0" applyNumberFormat="1" applyFont="1" applyFill="1" applyBorder="1" applyAlignment="1">
      <alignment/>
    </xf>
    <xf numFmtId="0" fontId="6" fillId="20" borderId="51" xfId="0" applyFont="1" applyFill="1" applyBorder="1" applyAlignment="1">
      <alignment horizontal="right"/>
    </xf>
    <xf numFmtId="4" fontId="6" fillId="20" borderId="52" xfId="0" applyNumberFormat="1" applyFont="1" applyFill="1" applyBorder="1" applyAlignment="1">
      <alignment/>
    </xf>
    <xf numFmtId="4" fontId="18" fillId="0" borderId="53" xfId="0" applyNumberFormat="1" applyFont="1" applyBorder="1" applyAlignment="1">
      <alignment horizontal="center" vertical="center" wrapText="1"/>
    </xf>
    <xf numFmtId="4" fontId="6" fillId="5" borderId="11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wrapText="1"/>
    </xf>
    <xf numFmtId="4" fontId="6" fillId="22" borderId="13" xfId="0" applyNumberFormat="1" applyFont="1" applyFill="1" applyBorder="1" applyAlignment="1">
      <alignment/>
    </xf>
    <xf numFmtId="4" fontId="17" fillId="5" borderId="15" xfId="0" applyNumberFormat="1" applyFont="1" applyFill="1" applyBorder="1" applyAlignment="1">
      <alignment horizontal="center" wrapText="1"/>
    </xf>
    <xf numFmtId="3" fontId="17" fillId="0" borderId="13" xfId="0" applyNumberFormat="1" applyFont="1" applyFill="1" applyBorder="1" applyAlignment="1" quotePrefix="1">
      <alignment horizontal="center" wrapText="1"/>
    </xf>
    <xf numFmtId="4" fontId="14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/>
    </xf>
    <xf numFmtId="4" fontId="6" fillId="26" borderId="11" xfId="0" applyNumberFormat="1" applyFont="1" applyFill="1" applyBorder="1" applyAlignment="1">
      <alignment horizontal="center" vertical="center" wrapText="1"/>
    </xf>
    <xf numFmtId="4" fontId="6" fillId="26" borderId="20" xfId="0" applyNumberFormat="1" applyFont="1" applyFill="1" applyBorder="1" applyAlignment="1">
      <alignment wrapText="1"/>
    </xf>
    <xf numFmtId="4" fontId="6" fillId="26" borderId="19" xfId="0" applyNumberFormat="1" applyFont="1" applyFill="1" applyBorder="1" applyAlignment="1">
      <alignment wrapText="1"/>
    </xf>
    <xf numFmtId="4" fontId="6" fillId="26" borderId="53" xfId="0" applyNumberFormat="1" applyFont="1" applyFill="1" applyBorder="1" applyAlignment="1">
      <alignment/>
    </xf>
    <xf numFmtId="4" fontId="1" fillId="20" borderId="54" xfId="0" applyNumberFormat="1" applyFont="1" applyFill="1" applyBorder="1" applyAlignment="1">
      <alignment/>
    </xf>
    <xf numFmtId="4" fontId="6" fillId="0" borderId="53" xfId="0" applyNumberFormat="1" applyFont="1" applyFill="1" applyBorder="1" applyAlignment="1">
      <alignment/>
    </xf>
    <xf numFmtId="4" fontId="6" fillId="26" borderId="46" xfId="0" applyNumberFormat="1" applyFont="1" applyFill="1" applyBorder="1" applyAlignment="1">
      <alignment/>
    </xf>
    <xf numFmtId="4" fontId="6" fillId="24" borderId="53" xfId="0" applyNumberFormat="1" applyFont="1" applyFill="1" applyBorder="1" applyAlignment="1">
      <alignment/>
    </xf>
    <xf numFmtId="4" fontId="1" fillId="20" borderId="55" xfId="0" applyNumberFormat="1" applyFont="1" applyFill="1" applyBorder="1" applyAlignment="1">
      <alignment/>
    </xf>
    <xf numFmtId="4" fontId="1" fillId="20" borderId="22" xfId="0" applyNumberFormat="1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43" fillId="7" borderId="13" xfId="0" applyNumberFormat="1" applyFont="1" applyFill="1" applyBorder="1" applyAlignment="1">
      <alignment horizontal="center" wrapText="1"/>
    </xf>
    <xf numFmtId="4" fontId="6" fillId="0" borderId="40" xfId="0" applyNumberFormat="1" applyFont="1" applyFill="1" applyBorder="1" applyAlignment="1">
      <alignment wrapText="1"/>
    </xf>
    <xf numFmtId="4" fontId="6" fillId="0" borderId="16" xfId="0" applyNumberFormat="1" applyFont="1" applyFill="1" applyBorder="1" applyAlignment="1">
      <alignment wrapText="1"/>
    </xf>
    <xf numFmtId="4" fontId="14" fillId="24" borderId="46" xfId="0" applyNumberFormat="1" applyFont="1" applyFill="1" applyBorder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0" fontId="45" fillId="11" borderId="11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wrapText="1"/>
    </xf>
    <xf numFmtId="1" fontId="14" fillId="21" borderId="24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wrapText="1"/>
    </xf>
    <xf numFmtId="4" fontId="6" fillId="0" borderId="46" xfId="0" applyNumberFormat="1" applyFont="1" applyFill="1" applyBorder="1" applyAlignment="1">
      <alignment wrapText="1"/>
    </xf>
    <xf numFmtId="4" fontId="6" fillId="21" borderId="53" xfId="0" applyNumberFormat="1" applyFont="1" applyFill="1" applyBorder="1" applyAlignment="1">
      <alignment horizontal="center" vertical="center" wrapText="1"/>
    </xf>
    <xf numFmtId="4" fontId="17" fillId="21" borderId="16" xfId="0" applyNumberFormat="1" applyFont="1" applyFill="1" applyBorder="1" applyAlignment="1">
      <alignment horizontal="right" vertical="center" wrapText="1"/>
    </xf>
    <xf numFmtId="4" fontId="17" fillId="21" borderId="19" xfId="0" applyNumberFormat="1" applyFont="1" applyFill="1" applyBorder="1" applyAlignment="1">
      <alignment horizontal="right" vertical="center" wrapText="1"/>
    </xf>
    <xf numFmtId="4" fontId="17" fillId="21" borderId="18" xfId="0" applyNumberFormat="1" applyFont="1" applyFill="1" applyBorder="1" applyAlignment="1">
      <alignment horizontal="right" vertical="center" wrapText="1"/>
    </xf>
    <xf numFmtId="4" fontId="8" fillId="21" borderId="0" xfId="0" applyNumberFormat="1" applyFont="1" applyFill="1" applyBorder="1" applyAlignment="1">
      <alignment horizontal="right" vertical="center" wrapText="1"/>
    </xf>
    <xf numFmtId="4" fontId="6" fillId="21" borderId="11" xfId="0" applyNumberFormat="1" applyFont="1" applyFill="1" applyBorder="1" applyAlignment="1">
      <alignment horizontal="center" vertical="center" wrapText="1"/>
    </xf>
    <xf numFmtId="4" fontId="6" fillId="21" borderId="37" xfId="0" applyNumberFormat="1" applyFont="1" applyFill="1" applyBorder="1" applyAlignment="1">
      <alignment horizontal="center" wrapText="1"/>
    </xf>
    <xf numFmtId="4" fontId="5" fillId="10" borderId="46" xfId="0" applyNumberFormat="1" applyFont="1" applyFill="1" applyBorder="1" applyAlignment="1">
      <alignment horizontal="center" wrapText="1"/>
    </xf>
    <xf numFmtId="4" fontId="5" fillId="10" borderId="13" xfId="0" applyNumberFormat="1" applyFont="1" applyFill="1" applyBorder="1" applyAlignment="1">
      <alignment horizontal="right" vertical="center" wrapText="1"/>
    </xf>
    <xf numFmtId="4" fontId="6" fillId="5" borderId="20" xfId="0" applyNumberFormat="1" applyFont="1" applyFill="1" applyBorder="1" applyAlignment="1">
      <alignment horizontal="right" wrapText="1"/>
    </xf>
    <xf numFmtId="4" fontId="6" fillId="5" borderId="14" xfId="0" applyNumberFormat="1" applyFont="1" applyFill="1" applyBorder="1" applyAlignment="1">
      <alignment horizontal="right" wrapText="1"/>
    </xf>
    <xf numFmtId="1" fontId="7" fillId="0" borderId="13" xfId="0" applyNumberFormat="1" applyFont="1" applyFill="1" applyBorder="1" applyAlignment="1">
      <alignment horizontal="center" vertical="center" wrapText="1"/>
    </xf>
    <xf numFmtId="4" fontId="6" fillId="10" borderId="13" xfId="0" applyNumberFormat="1" applyFont="1" applyFill="1" applyBorder="1" applyAlignment="1">
      <alignment/>
    </xf>
    <xf numFmtId="4" fontId="6" fillId="10" borderId="53" xfId="0" applyNumberFormat="1" applyFont="1" applyFill="1" applyBorder="1" applyAlignment="1">
      <alignment/>
    </xf>
    <xf numFmtId="4" fontId="6" fillId="10" borderId="46" xfId="0" applyNumberFormat="1" applyFont="1" applyFill="1" applyBorder="1" applyAlignment="1">
      <alignment/>
    </xf>
    <xf numFmtId="4" fontId="6" fillId="3" borderId="14" xfId="0" applyNumberFormat="1" applyFont="1" applyFill="1" applyBorder="1" applyAlignment="1">
      <alignment horizontal="right" wrapText="1"/>
    </xf>
    <xf numFmtId="1" fontId="14" fillId="24" borderId="11" xfId="0" applyNumberFormat="1" applyFont="1" applyFill="1" applyBorder="1" applyAlignment="1">
      <alignment horizontal="center" vertical="center" wrapText="1"/>
    </xf>
    <xf numFmtId="4" fontId="14" fillId="24" borderId="14" xfId="0" applyNumberFormat="1" applyFont="1" applyFill="1" applyBorder="1" applyAlignment="1">
      <alignment wrapText="1"/>
    </xf>
    <xf numFmtId="4" fontId="36" fillId="3" borderId="24" xfId="0" applyNumberFormat="1" applyFont="1" applyFill="1" applyBorder="1" applyAlignment="1">
      <alignment horizontal="center" wrapText="1"/>
    </xf>
    <xf numFmtId="0" fontId="14" fillId="24" borderId="23" xfId="0" applyFont="1" applyFill="1" applyBorder="1" applyAlignment="1">
      <alignment horizontal="right"/>
    </xf>
    <xf numFmtId="4" fontId="14" fillId="7" borderId="46" xfId="0" applyNumberFormat="1" applyFont="1" applyFill="1" applyBorder="1" applyAlignment="1">
      <alignment horizontal="right" wrapText="1"/>
    </xf>
    <xf numFmtId="164" fontId="8" fillId="7" borderId="13" xfId="0" applyNumberFormat="1" applyFont="1" applyFill="1" applyBorder="1" applyAlignment="1">
      <alignment horizontal="center" wrapText="1"/>
    </xf>
    <xf numFmtId="4" fontId="6" fillId="10" borderId="11" xfId="0" applyNumberFormat="1" applyFont="1" applyFill="1" applyBorder="1" applyAlignment="1">
      <alignment wrapText="1"/>
    </xf>
    <xf numFmtId="4" fontId="6" fillId="7" borderId="13" xfId="0" applyNumberFormat="1" applyFont="1" applyFill="1" applyBorder="1" applyAlignment="1">
      <alignment/>
    </xf>
    <xf numFmtId="4" fontId="6" fillId="7" borderId="46" xfId="0" applyNumberFormat="1" applyFont="1" applyFill="1" applyBorder="1" applyAlignment="1">
      <alignment/>
    </xf>
    <xf numFmtId="4" fontId="7" fillId="10" borderId="53" xfId="0" applyNumberFormat="1" applyFont="1" applyFill="1" applyBorder="1" applyAlignment="1">
      <alignment/>
    </xf>
    <xf numFmtId="164" fontId="8" fillId="7" borderId="26" xfId="0" applyNumberFormat="1" applyFont="1" applyFill="1" applyBorder="1" applyAlignment="1">
      <alignment/>
    </xf>
    <xf numFmtId="166" fontId="5" fillId="7" borderId="37" xfId="0" applyNumberFormat="1" applyFont="1" applyFill="1" applyBorder="1" applyAlignment="1">
      <alignment horizontal="center" wrapText="1"/>
    </xf>
    <xf numFmtId="3" fontId="14" fillId="7" borderId="54" xfId="0" applyNumberFormat="1" applyFont="1" applyFill="1" applyBorder="1" applyAlignment="1">
      <alignment horizontal="center"/>
    </xf>
    <xf numFmtId="167" fontId="5" fillId="7" borderId="37" xfId="0" applyNumberFormat="1" applyFont="1" applyFill="1" applyBorder="1" applyAlignment="1">
      <alignment horizontal="center" wrapText="1"/>
    </xf>
    <xf numFmtId="4" fontId="6" fillId="0" borderId="53" xfId="0" applyNumberFormat="1" applyFont="1" applyBorder="1" applyAlignment="1" quotePrefix="1">
      <alignment horizontal="center" vertical="center" wrapText="1"/>
    </xf>
    <xf numFmtId="4" fontId="6" fillId="0" borderId="41" xfId="0" applyNumberFormat="1" applyFont="1" applyBorder="1" applyAlignment="1" quotePrefix="1">
      <alignment horizontal="center" vertical="center" wrapText="1"/>
    </xf>
    <xf numFmtId="4" fontId="6" fillId="0" borderId="11" xfId="0" applyNumberFormat="1" applyFont="1" applyBorder="1" applyAlignment="1" quotePrefix="1">
      <alignment horizontal="center" vertical="center" wrapText="1"/>
    </xf>
    <xf numFmtId="4" fontId="5" fillId="10" borderId="46" xfId="0" applyNumberFormat="1" applyFont="1" applyFill="1" applyBorder="1" applyAlignment="1">
      <alignment horizontal="right"/>
    </xf>
    <xf numFmtId="4" fontId="5" fillId="10" borderId="11" xfId="0" applyNumberFormat="1" applyFont="1" applyFill="1" applyBorder="1" applyAlignment="1">
      <alignment/>
    </xf>
    <xf numFmtId="4" fontId="6" fillId="10" borderId="11" xfId="0" applyNumberFormat="1" applyFont="1" applyFill="1" applyBorder="1" applyAlignment="1">
      <alignment/>
    </xf>
    <xf numFmtId="4" fontId="1" fillId="22" borderId="25" xfId="0" applyNumberFormat="1" applyFont="1" applyFill="1" applyBorder="1" applyAlignment="1">
      <alignment wrapText="1"/>
    </xf>
    <xf numFmtId="4" fontId="18" fillId="0" borderId="46" xfId="0" applyNumberFormat="1" applyFont="1" applyFill="1" applyBorder="1" applyAlignment="1">
      <alignment horizontal="center" wrapText="1"/>
    </xf>
    <xf numFmtId="3" fontId="1" fillId="0" borderId="56" xfId="0" applyNumberFormat="1" applyFont="1" applyFill="1" applyBorder="1" applyAlignment="1">
      <alignment wrapText="1"/>
    </xf>
    <xf numFmtId="3" fontId="1" fillId="0" borderId="39" xfId="0" applyNumberFormat="1" applyFont="1" applyFill="1" applyBorder="1" applyAlignment="1">
      <alignment wrapText="1"/>
    </xf>
    <xf numFmtId="4" fontId="6" fillId="24" borderId="11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/>
    </xf>
    <xf numFmtId="3" fontId="3" fillId="24" borderId="57" xfId="0" applyNumberFormat="1" applyFont="1" applyFill="1" applyBorder="1" applyAlignment="1">
      <alignment horizontal="left"/>
    </xf>
    <xf numFmtId="4" fontId="6" fillId="0" borderId="53" xfId="0" applyNumberFormat="1" applyFont="1" applyBorder="1" applyAlignment="1">
      <alignment horizontal="left" wrapText="1"/>
    </xf>
    <xf numFmtId="4" fontId="18" fillId="10" borderId="13" xfId="0" applyNumberFormat="1" applyFont="1" applyFill="1" applyBorder="1" applyAlignment="1">
      <alignment horizontal="left" vertical="center" wrapText="1"/>
    </xf>
    <xf numFmtId="4" fontId="6" fillId="10" borderId="15" xfId="0" applyNumberFormat="1" applyFont="1" applyFill="1" applyBorder="1" applyAlignment="1">
      <alignment wrapText="1"/>
    </xf>
    <xf numFmtId="4" fontId="3" fillId="7" borderId="11" xfId="0" applyNumberFormat="1" applyFont="1" applyFill="1" applyBorder="1" applyAlignment="1">
      <alignment horizontal="center" wrapText="1"/>
    </xf>
    <xf numFmtId="4" fontId="6" fillId="10" borderId="15" xfId="0" applyNumberFormat="1" applyFont="1" applyFill="1" applyBorder="1" applyAlignment="1">
      <alignment horizontal="right" wrapText="1"/>
    </xf>
    <xf numFmtId="4" fontId="6" fillId="10" borderId="46" xfId="0" applyNumberFormat="1" applyFont="1" applyFill="1" applyBorder="1" applyAlignment="1">
      <alignment horizontal="right" wrapText="1"/>
    </xf>
    <xf numFmtId="4" fontId="6" fillId="7" borderId="11" xfId="0" applyNumberFormat="1" applyFont="1" applyFill="1" applyBorder="1" applyAlignment="1">
      <alignment horizontal="right"/>
    </xf>
    <xf numFmtId="4" fontId="6" fillId="7" borderId="48" xfId="0" applyNumberFormat="1" applyFont="1" applyFill="1" applyBorder="1" applyAlignment="1">
      <alignment horizontal="right" wrapText="1"/>
    </xf>
    <xf numFmtId="4" fontId="6" fillId="10" borderId="46" xfId="0" applyNumberFormat="1" applyFont="1" applyFill="1" applyBorder="1" applyAlignment="1">
      <alignment horizontal="left" wrapText="1"/>
    </xf>
    <xf numFmtId="4" fontId="5" fillId="10" borderId="53" xfId="0" applyNumberFormat="1" applyFont="1" applyFill="1" applyBorder="1" applyAlignment="1">
      <alignment horizontal="center" wrapText="1"/>
    </xf>
    <xf numFmtId="166" fontId="7" fillId="7" borderId="46" xfId="0" applyNumberFormat="1" applyFont="1" applyFill="1" applyBorder="1" applyAlignment="1">
      <alignment horizontal="right"/>
    </xf>
    <xf numFmtId="4" fontId="1" fillId="5" borderId="39" xfId="0" applyNumberFormat="1" applyFont="1" applyFill="1" applyBorder="1" applyAlignment="1">
      <alignment wrapText="1"/>
    </xf>
    <xf numFmtId="1" fontId="7" fillId="0" borderId="37" xfId="0" applyNumberFormat="1" applyFont="1" applyFill="1" applyBorder="1" applyAlignment="1">
      <alignment horizontal="center" vertical="center" wrapText="1"/>
    </xf>
    <xf numFmtId="4" fontId="1" fillId="22" borderId="49" xfId="0" applyNumberFormat="1" applyFont="1" applyFill="1" applyBorder="1" applyAlignment="1">
      <alignment wrapText="1"/>
    </xf>
    <xf numFmtId="4" fontId="6" fillId="10" borderId="14" xfId="0" applyNumberFormat="1" applyFont="1" applyFill="1" applyBorder="1" applyAlignment="1">
      <alignment wrapText="1"/>
    </xf>
    <xf numFmtId="4" fontId="6" fillId="10" borderId="46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left" wrapText="1"/>
    </xf>
    <xf numFmtId="4" fontId="6" fillId="10" borderId="19" xfId="0" applyNumberFormat="1" applyFont="1" applyFill="1" applyBorder="1" applyAlignment="1">
      <alignment wrapText="1"/>
    </xf>
    <xf numFmtId="4" fontId="18" fillId="0" borderId="46" xfId="0" applyNumberFormat="1" applyFont="1" applyFill="1" applyBorder="1" applyAlignment="1">
      <alignment horizontal="center" vertical="center" wrapText="1"/>
    </xf>
    <xf numFmtId="4" fontId="14" fillId="7" borderId="46" xfId="0" applyNumberFormat="1" applyFont="1" applyFill="1" applyBorder="1" applyAlignment="1">
      <alignment/>
    </xf>
    <xf numFmtId="4" fontId="18" fillId="0" borderId="13" xfId="0" applyNumberFormat="1" applyFont="1" applyFill="1" applyBorder="1" applyAlignment="1">
      <alignment horizontal="left" wrapText="1"/>
    </xf>
    <xf numFmtId="4" fontId="6" fillId="10" borderId="33" xfId="0" applyNumberFormat="1" applyFont="1" applyFill="1" applyBorder="1" applyAlignment="1">
      <alignment wrapText="1"/>
    </xf>
    <xf numFmtId="4" fontId="5" fillId="7" borderId="13" xfId="0" applyNumberFormat="1" applyFont="1" applyFill="1" applyBorder="1" applyAlignment="1">
      <alignment horizontal="center" wrapText="1"/>
    </xf>
    <xf numFmtId="4" fontId="6" fillId="10" borderId="53" xfId="0" applyNumberFormat="1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center" wrapText="1"/>
    </xf>
    <xf numFmtId="4" fontId="1" fillId="0" borderId="40" xfId="0" applyNumberFormat="1" applyFont="1" applyFill="1" applyBorder="1" applyAlignment="1">
      <alignment wrapText="1"/>
    </xf>
    <xf numFmtId="4" fontId="6" fillId="10" borderId="16" xfId="0" applyNumberFormat="1" applyFont="1" applyFill="1" applyBorder="1" applyAlignment="1">
      <alignment wrapText="1"/>
    </xf>
    <xf numFmtId="4" fontId="6" fillId="10" borderId="46" xfId="0" applyNumberFormat="1" applyFont="1" applyFill="1" applyBorder="1" applyAlignment="1">
      <alignment horizontal="center" wrapText="1"/>
    </xf>
    <xf numFmtId="3" fontId="6" fillId="24" borderId="5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/>
    </xf>
    <xf numFmtId="4" fontId="18" fillId="0" borderId="26" xfId="0" applyNumberFormat="1" applyFont="1" applyFill="1" applyBorder="1" applyAlignment="1">
      <alignment horizontal="left" wrapText="1"/>
    </xf>
    <xf numFmtId="4" fontId="18" fillId="0" borderId="22" xfId="0" applyNumberFormat="1" applyFont="1" applyFill="1" applyBorder="1" applyAlignment="1">
      <alignment horizontal="left" wrapText="1"/>
    </xf>
    <xf numFmtId="4" fontId="6" fillId="24" borderId="58" xfId="0" applyNumberFormat="1" applyFont="1" applyFill="1" applyBorder="1" applyAlignment="1">
      <alignment/>
    </xf>
    <xf numFmtId="4" fontId="6" fillId="24" borderId="0" xfId="0" applyNumberFormat="1" applyFont="1" applyFill="1" applyAlignment="1">
      <alignment/>
    </xf>
    <xf numFmtId="4" fontId="1" fillId="0" borderId="53" xfId="0" applyNumberFormat="1" applyFont="1" applyFill="1" applyBorder="1" applyAlignment="1">
      <alignment/>
    </xf>
    <xf numFmtId="4" fontId="17" fillId="0" borderId="13" xfId="0" applyNumberFormat="1" applyFont="1" applyFill="1" applyBorder="1" applyAlignment="1" quotePrefix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" fontId="6" fillId="0" borderId="51" xfId="0" applyNumberFormat="1" applyFont="1" applyBorder="1" applyAlignment="1">
      <alignment wrapText="1"/>
    </xf>
    <xf numFmtId="4" fontId="5" fillId="0" borderId="16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/>
    </xf>
    <xf numFmtId="1" fontId="14" fillId="24" borderId="46" xfId="0" applyNumberFormat="1" applyFont="1" applyFill="1" applyBorder="1" applyAlignment="1">
      <alignment horizontal="center" vertical="center" wrapText="1"/>
    </xf>
    <xf numFmtId="4" fontId="6" fillId="10" borderId="34" xfId="0" applyNumberFormat="1" applyFont="1" applyFill="1" applyBorder="1" applyAlignment="1">
      <alignment wrapText="1"/>
    </xf>
    <xf numFmtId="0" fontId="6" fillId="20" borderId="59" xfId="0" applyFont="1" applyFill="1" applyBorder="1" applyAlignment="1">
      <alignment horizontal="right"/>
    </xf>
    <xf numFmtId="4" fontId="6" fillId="20" borderId="57" xfId="0" applyNumberFormat="1" applyFont="1" applyFill="1" applyBorder="1" applyAlignment="1">
      <alignment/>
    </xf>
    <xf numFmtId="4" fontId="1" fillId="7" borderId="46" xfId="0" applyNumberFormat="1" applyFont="1" applyFill="1" applyBorder="1" applyAlignment="1">
      <alignment/>
    </xf>
    <xf numFmtId="0" fontId="9" fillId="7" borderId="13" xfId="0" applyFont="1" applyFill="1" applyBorder="1" applyAlignment="1">
      <alignment wrapText="1"/>
    </xf>
    <xf numFmtId="4" fontId="7" fillId="10" borderId="46" xfId="0" applyNumberFormat="1" applyFont="1" applyFill="1" applyBorder="1" applyAlignment="1">
      <alignment horizontal="left" wrapText="1"/>
    </xf>
    <xf numFmtId="4" fontId="6" fillId="0" borderId="18" xfId="0" applyNumberFormat="1" applyFont="1" applyBorder="1" applyAlignment="1">
      <alignment wrapText="1"/>
    </xf>
    <xf numFmtId="4" fontId="8" fillId="0" borderId="26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right" wrapText="1"/>
    </xf>
    <xf numFmtId="4" fontId="18" fillId="0" borderId="22" xfId="0" applyNumberFormat="1" applyFont="1" applyFill="1" applyBorder="1" applyAlignment="1">
      <alignment horizontal="right" wrapText="1"/>
    </xf>
    <xf numFmtId="4" fontId="1" fillId="0" borderId="53" xfId="0" applyNumberFormat="1" applyFont="1" applyFill="1" applyBorder="1" applyAlignment="1">
      <alignment horizontal="right"/>
    </xf>
    <xf numFmtId="4" fontId="17" fillId="20" borderId="13" xfId="0" applyNumberFormat="1" applyFont="1" applyFill="1" applyBorder="1" applyAlignment="1" quotePrefix="1">
      <alignment horizontal="center" wrapText="1"/>
    </xf>
    <xf numFmtId="4" fontId="17" fillId="20" borderId="15" xfId="0" applyNumberFormat="1" applyFont="1" applyFill="1" applyBorder="1" applyAlignment="1">
      <alignment horizontal="center" wrapText="1"/>
    </xf>
    <xf numFmtId="4" fontId="6" fillId="5" borderId="16" xfId="0" applyNumberFormat="1" applyFont="1" applyFill="1" applyBorder="1" applyAlignment="1">
      <alignment wrapText="1"/>
    </xf>
    <xf numFmtId="4" fontId="14" fillId="24" borderId="19" xfId="0" applyNumberFormat="1" applyFont="1" applyFill="1" applyBorder="1" applyAlignment="1">
      <alignment wrapText="1"/>
    </xf>
    <xf numFmtId="4" fontId="17" fillId="0" borderId="16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7" fillId="0" borderId="16" xfId="0" applyNumberFormat="1" applyFont="1" applyFill="1" applyBorder="1" applyAlignment="1">
      <alignment horizontal="center" wrapText="1"/>
    </xf>
    <xf numFmtId="3" fontId="5" fillId="3" borderId="13" xfId="0" applyNumberFormat="1" applyFont="1" applyFill="1" applyBorder="1" applyAlignment="1">
      <alignment horizontal="center" wrapText="1"/>
    </xf>
    <xf numFmtId="3" fontId="6" fillId="0" borderId="18" xfId="0" applyNumberFormat="1" applyFont="1" applyBorder="1" applyAlignment="1">
      <alignment wrapText="1"/>
    </xf>
    <xf numFmtId="3" fontId="18" fillId="0" borderId="0" xfId="0" applyNumberFormat="1" applyFont="1" applyFill="1" applyBorder="1" applyAlignment="1">
      <alignment horizontal="center" wrapText="1"/>
    </xf>
    <xf numFmtId="3" fontId="18" fillId="0" borderId="22" xfId="0" applyNumberFormat="1" applyFont="1" applyFill="1" applyBorder="1" applyAlignment="1">
      <alignment horizontal="left" wrapText="1"/>
    </xf>
    <xf numFmtId="3" fontId="1" fillId="0" borderId="5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7" fillId="5" borderId="13" xfId="0" applyNumberFormat="1" applyFont="1" applyFill="1" applyBorder="1" applyAlignment="1">
      <alignment horizontal="center" wrapText="1"/>
    </xf>
    <xf numFmtId="4" fontId="17" fillId="5" borderId="16" xfId="0" applyNumberFormat="1" applyFont="1" applyFill="1" applyBorder="1" applyAlignment="1">
      <alignment horizontal="center" wrapText="1"/>
    </xf>
    <xf numFmtId="4" fontId="17" fillId="5" borderId="18" xfId="0" applyNumberFormat="1" applyFont="1" applyFill="1" applyBorder="1" applyAlignment="1">
      <alignment horizontal="center" wrapText="1"/>
    </xf>
    <xf numFmtId="4" fontId="6" fillId="5" borderId="18" xfId="0" applyNumberFormat="1" applyFont="1" applyFill="1" applyBorder="1" applyAlignment="1">
      <alignment wrapText="1"/>
    </xf>
    <xf numFmtId="4" fontId="6" fillId="8" borderId="37" xfId="0" applyNumberFormat="1" applyFont="1" applyFill="1" applyBorder="1" applyAlignment="1">
      <alignment/>
    </xf>
    <xf numFmtId="4" fontId="8" fillId="5" borderId="26" xfId="0" applyNumberFormat="1" applyFont="1" applyFill="1" applyBorder="1" applyAlignment="1">
      <alignment/>
    </xf>
    <xf numFmtId="4" fontId="6" fillId="5" borderId="40" xfId="0" applyNumberFormat="1" applyFont="1" applyFill="1" applyBorder="1" applyAlignment="1">
      <alignment wrapText="1"/>
    </xf>
    <xf numFmtId="4" fontId="5" fillId="5" borderId="16" xfId="0" applyNumberFormat="1" applyFont="1" applyFill="1" applyBorder="1" applyAlignment="1">
      <alignment wrapText="1"/>
    </xf>
    <xf numFmtId="4" fontId="6" fillId="20" borderId="40" xfId="0" applyNumberFormat="1" applyFont="1" applyFill="1" applyBorder="1" applyAlignment="1">
      <alignment wrapText="1"/>
    </xf>
    <xf numFmtId="4" fontId="6" fillId="20" borderId="16" xfId="0" applyNumberFormat="1" applyFont="1" applyFill="1" applyBorder="1" applyAlignment="1">
      <alignment wrapText="1"/>
    </xf>
    <xf numFmtId="1" fontId="6" fillId="21" borderId="11" xfId="0" applyNumberFormat="1" applyFont="1" applyFill="1" applyBorder="1" applyAlignment="1">
      <alignment horizontal="center" vertical="center" wrapText="1"/>
    </xf>
    <xf numFmtId="4" fontId="6" fillId="24" borderId="55" xfId="0" applyNumberFormat="1" applyFont="1" applyFill="1" applyBorder="1" applyAlignment="1">
      <alignment/>
    </xf>
    <xf numFmtId="4" fontId="1" fillId="24" borderId="55" xfId="0" applyNumberFormat="1" applyFont="1" applyFill="1" applyBorder="1" applyAlignment="1">
      <alignment/>
    </xf>
    <xf numFmtId="4" fontId="6" fillId="24" borderId="57" xfId="0" applyNumberFormat="1" applyFont="1" applyFill="1" applyBorder="1" applyAlignment="1">
      <alignment/>
    </xf>
    <xf numFmtId="0" fontId="47" fillId="5" borderId="13" xfId="0" applyFont="1" applyFill="1" applyBorder="1" applyAlignment="1">
      <alignment horizontal="right"/>
    </xf>
    <xf numFmtId="4" fontId="6" fillId="5" borderId="53" xfId="0" applyNumberFormat="1" applyFont="1" applyFill="1" applyBorder="1" applyAlignment="1">
      <alignment/>
    </xf>
    <xf numFmtId="4" fontId="1" fillId="5" borderId="53" xfId="0" applyNumberFormat="1" applyFont="1" applyFill="1" applyBorder="1" applyAlignment="1">
      <alignment/>
    </xf>
    <xf numFmtId="3" fontId="3" fillId="5" borderId="46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 wrapText="1"/>
    </xf>
    <xf numFmtId="4" fontId="17" fillId="22" borderId="15" xfId="0" applyNumberFormat="1" applyFont="1" applyFill="1" applyBorder="1" applyAlignment="1">
      <alignment horizontal="center" wrapText="1"/>
    </xf>
    <xf numFmtId="4" fontId="17" fillId="22" borderId="16" xfId="0" applyNumberFormat="1" applyFont="1" applyFill="1" applyBorder="1" applyAlignment="1">
      <alignment horizontal="center" wrapText="1"/>
    </xf>
    <xf numFmtId="4" fontId="17" fillId="22" borderId="18" xfId="0" applyNumberFormat="1" applyFont="1" applyFill="1" applyBorder="1" applyAlignment="1">
      <alignment horizontal="center" wrapText="1"/>
    </xf>
    <xf numFmtId="4" fontId="6" fillId="22" borderId="18" xfId="0" applyNumberFormat="1" applyFont="1" applyFill="1" applyBorder="1" applyAlignment="1">
      <alignment wrapText="1"/>
    </xf>
    <xf numFmtId="4" fontId="17" fillId="10" borderId="15" xfId="0" applyNumberFormat="1" applyFont="1" applyFill="1" applyBorder="1" applyAlignment="1">
      <alignment horizontal="center" wrapText="1"/>
    </xf>
    <xf numFmtId="4" fontId="48" fillId="0" borderId="53" xfId="0" applyNumberFormat="1" applyFont="1" applyBorder="1" applyAlignment="1">
      <alignment horizontal="center" vertical="center" wrapText="1"/>
    </xf>
    <xf numFmtId="1" fontId="6" fillId="8" borderId="11" xfId="0" applyNumberFormat="1" applyFont="1" applyFill="1" applyBorder="1" applyAlignment="1">
      <alignment horizontal="center" vertical="center" wrapText="1"/>
    </xf>
    <xf numFmtId="4" fontId="5" fillId="22" borderId="16" xfId="0" applyNumberFormat="1" applyFont="1" applyFill="1" applyBorder="1" applyAlignment="1">
      <alignment wrapText="1"/>
    </xf>
    <xf numFmtId="4" fontId="6" fillId="22" borderId="26" xfId="0" applyNumberFormat="1" applyFont="1" applyFill="1" applyBorder="1" applyAlignment="1">
      <alignment/>
    </xf>
    <xf numFmtId="4" fontId="8" fillId="7" borderId="26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 horizontal="left" wrapText="1"/>
    </xf>
    <xf numFmtId="4" fontId="6" fillId="7" borderId="53" xfId="0" applyNumberFormat="1" applyFont="1" applyFill="1" applyBorder="1" applyAlignment="1">
      <alignment/>
    </xf>
    <xf numFmtId="4" fontId="7" fillId="7" borderId="43" xfId="0" applyNumberFormat="1" applyFont="1" applyFill="1" applyBorder="1" applyAlignment="1">
      <alignment wrapText="1"/>
    </xf>
    <xf numFmtId="4" fontId="6" fillId="26" borderId="40" xfId="0" applyNumberFormat="1" applyFont="1" applyFill="1" applyBorder="1" applyAlignment="1">
      <alignment wrapText="1"/>
    </xf>
    <xf numFmtId="4" fontId="6" fillId="26" borderId="16" xfId="0" applyNumberFormat="1" applyFont="1" applyFill="1" applyBorder="1" applyAlignment="1">
      <alignment wrapText="1"/>
    </xf>
    <xf numFmtId="4" fontId="17" fillId="26" borderId="13" xfId="0" applyNumberFormat="1" applyFont="1" applyFill="1" applyBorder="1" applyAlignment="1">
      <alignment horizontal="center" wrapText="1"/>
    </xf>
    <xf numFmtId="166" fontId="8" fillId="7" borderId="60" xfId="0" applyNumberFormat="1" applyFont="1" applyFill="1" applyBorder="1" applyAlignment="1">
      <alignment wrapText="1"/>
    </xf>
    <xf numFmtId="4" fontId="6" fillId="26" borderId="13" xfId="0" applyNumberFormat="1" applyFont="1" applyFill="1" applyBorder="1" applyAlignment="1">
      <alignment/>
    </xf>
    <xf numFmtId="4" fontId="8" fillId="26" borderId="26" xfId="0" applyNumberFormat="1" applyFont="1" applyFill="1" applyBorder="1" applyAlignment="1">
      <alignment/>
    </xf>
    <xf numFmtId="4" fontId="6" fillId="26" borderId="21" xfId="0" applyNumberFormat="1" applyFont="1" applyFill="1" applyBorder="1" applyAlignment="1">
      <alignment horizontal="right" wrapText="1"/>
    </xf>
    <xf numFmtId="4" fontId="18" fillId="26" borderId="11" xfId="0" applyNumberFormat="1" applyFont="1" applyFill="1" applyBorder="1" applyAlignment="1">
      <alignment horizontal="center" vertical="center" wrapText="1"/>
    </xf>
    <xf numFmtId="4" fontId="41" fillId="0" borderId="15" xfId="0" applyNumberFormat="1" applyFont="1" applyFill="1" applyBorder="1" applyAlignment="1">
      <alignment horizontal="center" wrapText="1"/>
    </xf>
    <xf numFmtId="4" fontId="41" fillId="0" borderId="18" xfId="0" applyNumberFormat="1" applyFont="1" applyFill="1" applyBorder="1" applyAlignment="1">
      <alignment horizontal="center" wrapText="1"/>
    </xf>
    <xf numFmtId="4" fontId="5" fillId="0" borderId="11" xfId="0" applyNumberFormat="1" applyFont="1" applyFill="1" applyBorder="1" applyAlignment="1">
      <alignment horizontal="center" wrapText="1"/>
    </xf>
    <xf numFmtId="4" fontId="5" fillId="0" borderId="46" xfId="0" applyNumberFormat="1" applyFont="1" applyFill="1" applyBorder="1" applyAlignment="1">
      <alignment horizontal="center" wrapText="1"/>
    </xf>
    <xf numFmtId="166" fontId="5" fillId="0" borderId="11" xfId="0" applyNumberFormat="1" applyFont="1" applyFill="1" applyBorder="1" applyAlignment="1">
      <alignment horizontal="center" wrapText="1"/>
    </xf>
    <xf numFmtId="4" fontId="17" fillId="26" borderId="15" xfId="0" applyNumberFormat="1" applyFont="1" applyFill="1" applyBorder="1" applyAlignment="1">
      <alignment horizontal="center" wrapText="1"/>
    </xf>
    <xf numFmtId="4" fontId="41" fillId="26" borderId="15" xfId="0" applyNumberFormat="1" applyFont="1" applyFill="1" applyBorder="1" applyAlignment="1">
      <alignment horizontal="center" wrapText="1"/>
    </xf>
    <xf numFmtId="4" fontId="17" fillId="26" borderId="18" xfId="0" applyNumberFormat="1" applyFont="1" applyFill="1" applyBorder="1" applyAlignment="1">
      <alignment horizontal="center" wrapText="1"/>
    </xf>
    <xf numFmtId="4" fontId="41" fillId="26" borderId="18" xfId="0" applyNumberFormat="1" applyFont="1" applyFill="1" applyBorder="1" applyAlignment="1">
      <alignment horizontal="center" wrapText="1"/>
    </xf>
    <xf numFmtId="14" fontId="14" fillId="0" borderId="0" xfId="0" applyNumberFormat="1" applyFont="1" applyAlignment="1" quotePrefix="1">
      <alignment/>
    </xf>
    <xf numFmtId="4" fontId="7" fillId="10" borderId="46" xfId="0" applyNumberFormat="1" applyFont="1" applyFill="1" applyBorder="1" applyAlignment="1">
      <alignment/>
    </xf>
    <xf numFmtId="4" fontId="10" fillId="3" borderId="11" xfId="0" applyNumberFormat="1" applyFont="1" applyFill="1" applyBorder="1" applyAlignment="1">
      <alignment horizontal="center" wrapText="1"/>
    </xf>
    <xf numFmtId="4" fontId="5" fillId="7" borderId="46" xfId="0" applyNumberFormat="1" applyFont="1" applyFill="1" applyBorder="1" applyAlignment="1">
      <alignment horizontal="left" wrapText="1"/>
    </xf>
    <xf numFmtId="166" fontId="18" fillId="0" borderId="46" xfId="0" applyNumberFormat="1" applyFont="1" applyFill="1" applyBorder="1" applyAlignment="1">
      <alignment horizontal="left" wrapText="1"/>
    </xf>
    <xf numFmtId="4" fontId="6" fillId="7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 wrapText="1"/>
    </xf>
    <xf numFmtId="4" fontId="51" fillId="7" borderId="13" xfId="0" applyNumberFormat="1" applyFont="1" applyFill="1" applyBorder="1" applyAlignment="1">
      <alignment horizontal="center" wrapText="1"/>
    </xf>
    <xf numFmtId="4" fontId="52" fillId="7" borderId="46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4" borderId="13" xfId="0" applyNumberFormat="1" applyFont="1" applyFill="1" applyBorder="1" applyAlignment="1">
      <alignment horizontal="center" wrapText="1"/>
    </xf>
    <xf numFmtId="4" fontId="17" fillId="4" borderId="15" xfId="0" applyNumberFormat="1" applyFont="1" applyFill="1" applyBorder="1" applyAlignment="1">
      <alignment horizontal="center" wrapText="1"/>
    </xf>
    <xf numFmtId="4" fontId="5" fillId="5" borderId="11" xfId="0" applyNumberFormat="1" applyFont="1" applyFill="1" applyBorder="1" applyAlignment="1">
      <alignment horizontal="center" wrapText="1"/>
    </xf>
    <xf numFmtId="4" fontId="48" fillId="10" borderId="26" xfId="0" applyNumberFormat="1" applyFont="1" applyFill="1" applyBorder="1" applyAlignment="1">
      <alignment horizontal="left" vertical="center" wrapText="1"/>
    </xf>
    <xf numFmtId="4" fontId="49" fillId="10" borderId="54" xfId="0" applyNumberFormat="1" applyFont="1" applyFill="1" applyBorder="1" applyAlignment="1">
      <alignment horizontal="left" wrapText="1"/>
    </xf>
    <xf numFmtId="4" fontId="6" fillId="4" borderId="40" xfId="0" applyNumberFormat="1" applyFont="1" applyFill="1" applyBorder="1" applyAlignment="1">
      <alignment wrapText="1"/>
    </xf>
    <xf numFmtId="4" fontId="6" fillId="4" borderId="16" xfId="0" applyNumberFormat="1" applyFont="1" applyFill="1" applyBorder="1" applyAlignment="1">
      <alignment wrapText="1"/>
    </xf>
    <xf numFmtId="4" fontId="6" fillId="5" borderId="21" xfId="0" applyNumberFormat="1" applyFont="1" applyFill="1" applyBorder="1" applyAlignment="1">
      <alignment horizontal="right" wrapText="1"/>
    </xf>
    <xf numFmtId="4" fontId="8" fillId="4" borderId="26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4" fontId="7" fillId="0" borderId="46" xfId="0" applyNumberFormat="1" applyFont="1" applyFill="1" applyBorder="1" applyAlignment="1">
      <alignment horizontal="right"/>
    </xf>
    <xf numFmtId="4" fontId="7" fillId="0" borderId="53" xfId="0" applyNumberFormat="1" applyFont="1" applyFill="1" applyBorder="1" applyAlignment="1">
      <alignment/>
    </xf>
    <xf numFmtId="4" fontId="5" fillId="10" borderId="46" xfId="0" applyNumberFormat="1" applyFont="1" applyFill="1" applyBorder="1" applyAlignment="1">
      <alignment horizontal="left" wrapText="1"/>
    </xf>
    <xf numFmtId="4" fontId="17" fillId="24" borderId="13" xfId="0" applyNumberFormat="1" applyFont="1" applyFill="1" applyBorder="1" applyAlignment="1" quotePrefix="1">
      <alignment horizontal="center" wrapText="1"/>
    </xf>
    <xf numFmtId="4" fontId="17" fillId="24" borderId="15" xfId="0" applyNumberFormat="1" applyFont="1" applyFill="1" applyBorder="1" applyAlignment="1">
      <alignment horizontal="right" wrapText="1"/>
    </xf>
    <xf numFmtId="4" fontId="48" fillId="0" borderId="11" xfId="0" applyNumberFormat="1" applyFont="1" applyBorder="1" applyAlignment="1">
      <alignment horizontal="center" vertical="center" wrapText="1"/>
    </xf>
    <xf numFmtId="4" fontId="18" fillId="7" borderId="13" xfId="0" applyNumberFormat="1" applyFont="1" applyFill="1" applyBorder="1" applyAlignment="1">
      <alignment horizontal="left" wrapText="1"/>
    </xf>
    <xf numFmtId="166" fontId="18" fillId="7" borderId="46" xfId="0" applyNumberFormat="1" applyFont="1" applyFill="1" applyBorder="1" applyAlignment="1">
      <alignment horizontal="left" wrapText="1"/>
    </xf>
    <xf numFmtId="4" fontId="6" fillId="4" borderId="26" xfId="0" applyNumberFormat="1" applyFont="1" applyFill="1" applyBorder="1" applyAlignment="1">
      <alignment/>
    </xf>
    <xf numFmtId="4" fontId="8" fillId="24" borderId="26" xfId="0" applyNumberFormat="1" applyFont="1" applyFill="1" applyBorder="1" applyAlignment="1">
      <alignment horizontal="right"/>
    </xf>
    <xf numFmtId="4" fontId="6" fillId="20" borderId="26" xfId="0" applyNumberFormat="1" applyFont="1" applyFill="1" applyBorder="1" applyAlignment="1">
      <alignment/>
    </xf>
    <xf numFmtId="4" fontId="42" fillId="0" borderId="15" xfId="0" applyNumberFormat="1" applyFont="1" applyFill="1" applyBorder="1" applyAlignment="1">
      <alignment horizontal="center" wrapText="1"/>
    </xf>
    <xf numFmtId="167" fontId="5" fillId="7" borderId="46" xfId="0" applyNumberFormat="1" applyFont="1" applyFill="1" applyBorder="1" applyAlignment="1">
      <alignment horizontal="center" wrapText="1"/>
    </xf>
    <xf numFmtId="4" fontId="48" fillId="3" borderId="13" xfId="0" applyNumberFormat="1" applyFont="1" applyFill="1" applyBorder="1" applyAlignment="1">
      <alignment horizontal="center" wrapText="1"/>
    </xf>
    <xf numFmtId="4" fontId="48" fillId="3" borderId="11" xfId="0" applyNumberFormat="1" applyFont="1" applyFill="1" applyBorder="1" applyAlignment="1">
      <alignment horizontal="center" wrapText="1"/>
    </xf>
    <xf numFmtId="4" fontId="6" fillId="4" borderId="23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 horizontal="center" wrapText="1"/>
    </xf>
    <xf numFmtId="4" fontId="7" fillId="0" borderId="54" xfId="0" applyNumberFormat="1" applyFont="1" applyFill="1" applyBorder="1" applyAlignment="1">
      <alignment/>
    </xf>
    <xf numFmtId="4" fontId="7" fillId="3" borderId="61" xfId="0" applyNumberFormat="1" applyFont="1" applyFill="1" applyBorder="1" applyAlignment="1">
      <alignment/>
    </xf>
    <xf numFmtId="4" fontId="6" fillId="4" borderId="55" xfId="0" applyNumberFormat="1" applyFont="1" applyFill="1" applyBorder="1" applyAlignment="1" quotePrefix="1">
      <alignment horizontal="center"/>
    </xf>
    <xf numFmtId="4" fontId="7" fillId="3" borderId="43" xfId="0" applyNumberFormat="1" applyFont="1" applyFill="1" applyBorder="1" applyAlignment="1">
      <alignment/>
    </xf>
    <xf numFmtId="4" fontId="6" fillId="21" borderId="25" xfId="0" applyNumberFormat="1" applyFont="1" applyFill="1" applyBorder="1" applyAlignment="1">
      <alignment/>
    </xf>
    <xf numFmtId="4" fontId="6" fillId="3" borderId="61" xfId="0" applyNumberFormat="1" applyFont="1" applyFill="1" applyBorder="1" applyAlignment="1">
      <alignment/>
    </xf>
    <xf numFmtId="4" fontId="53" fillId="0" borderId="15" xfId="0" applyNumberFormat="1" applyFont="1" applyFill="1" applyBorder="1" applyAlignment="1">
      <alignment horizontal="center" wrapText="1"/>
    </xf>
    <xf numFmtId="4" fontId="46" fillId="0" borderId="0" xfId="0" applyNumberFormat="1" applyFont="1" applyFill="1" applyBorder="1" applyAlignment="1">
      <alignment horizontal="center" wrapText="1"/>
    </xf>
    <xf numFmtId="4" fontId="46" fillId="0" borderId="22" xfId="0" applyNumberFormat="1" applyFont="1" applyFill="1" applyBorder="1" applyAlignment="1">
      <alignment horizontal="left" wrapText="1"/>
    </xf>
    <xf numFmtId="4" fontId="2" fillId="0" borderId="5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3" fillId="0" borderId="40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3" fillId="3" borderId="19" xfId="0" applyNumberFormat="1" applyFont="1" applyFill="1" applyBorder="1" applyAlignment="1">
      <alignment horizontal="right" wrapText="1"/>
    </xf>
    <xf numFmtId="4" fontId="3" fillId="3" borderId="20" xfId="0" applyNumberFormat="1" applyFont="1" applyFill="1" applyBorder="1" applyAlignment="1">
      <alignment horizontal="right" wrapText="1"/>
    </xf>
    <xf numFmtId="4" fontId="3" fillId="3" borderId="21" xfId="0" applyNumberFormat="1" applyFont="1" applyFill="1" applyBorder="1" applyAlignment="1">
      <alignment horizontal="right" wrapText="1"/>
    </xf>
    <xf numFmtId="4" fontId="46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wrapText="1"/>
    </xf>
    <xf numFmtId="4" fontId="46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4" fontId="18" fillId="0" borderId="43" xfId="0" applyNumberFormat="1" applyFont="1" applyFill="1" applyBorder="1" applyAlignment="1">
      <alignment horizontal="left" wrapText="1"/>
    </xf>
    <xf numFmtId="4" fontId="18" fillId="0" borderId="60" xfId="0" applyNumberFormat="1" applyFont="1" applyFill="1" applyBorder="1" applyAlignment="1">
      <alignment horizontal="left" wrapText="1"/>
    </xf>
    <xf numFmtId="4" fontId="6" fillId="10" borderId="13" xfId="0" applyNumberFormat="1" applyFont="1" applyFill="1" applyBorder="1" applyAlignment="1">
      <alignment horizontal="center" wrapText="1"/>
    </xf>
    <xf numFmtId="4" fontId="6" fillId="10" borderId="53" xfId="0" applyNumberFormat="1" applyFont="1" applyFill="1" applyBorder="1" applyAlignment="1">
      <alignment horizontal="center" wrapText="1"/>
    </xf>
    <xf numFmtId="4" fontId="7" fillId="10" borderId="13" xfId="0" applyNumberFormat="1" applyFont="1" applyFill="1" applyBorder="1" applyAlignment="1">
      <alignment horizontal="left" wrapText="1"/>
    </xf>
    <xf numFmtId="4" fontId="7" fillId="10" borderId="53" xfId="0" applyNumberFormat="1" applyFont="1" applyFill="1" applyBorder="1" applyAlignment="1">
      <alignment horizontal="left" wrapText="1"/>
    </xf>
    <xf numFmtId="4" fontId="48" fillId="0" borderId="53" xfId="0" applyNumberFormat="1" applyFont="1" applyFill="1" applyBorder="1" applyAlignment="1">
      <alignment horizontal="left" wrapText="1"/>
    </xf>
    <xf numFmtId="4" fontId="48" fillId="0" borderId="46" xfId="0" applyNumberFormat="1" applyFont="1" applyFill="1" applyBorder="1" applyAlignment="1">
      <alignment horizontal="left" wrapText="1"/>
    </xf>
    <xf numFmtId="164" fontId="8" fillId="7" borderId="26" xfId="0" applyNumberFormat="1" applyFont="1" applyFill="1" applyBorder="1" applyAlignment="1">
      <alignment horizontal="center"/>
    </xf>
    <xf numFmtId="164" fontId="8" fillId="7" borderId="22" xfId="0" applyNumberFormat="1" applyFont="1" applyFill="1" applyBorder="1" applyAlignment="1">
      <alignment horizontal="center"/>
    </xf>
    <xf numFmtId="4" fontId="5" fillId="10" borderId="13" xfId="0" applyNumberFormat="1" applyFont="1" applyFill="1" applyBorder="1" applyAlignment="1">
      <alignment horizontal="center" wrapText="1"/>
    </xf>
    <xf numFmtId="4" fontId="5" fillId="10" borderId="53" xfId="0" applyNumberFormat="1" applyFont="1" applyFill="1" applyBorder="1" applyAlignment="1">
      <alignment horizontal="center" wrapText="1"/>
    </xf>
    <xf numFmtId="4" fontId="1" fillId="0" borderId="55" xfId="0" applyNumberFormat="1" applyFont="1" applyFill="1" applyBorder="1" applyAlignment="1">
      <alignment/>
    </xf>
    <xf numFmtId="4" fontId="54" fillId="0" borderId="13" xfId="0" applyNumberFormat="1" applyFont="1" applyFill="1" applyBorder="1" applyAlignment="1">
      <alignment horizontal="center" wrapText="1"/>
    </xf>
    <xf numFmtId="4" fontId="54" fillId="0" borderId="15" xfId="0" applyNumberFormat="1" applyFont="1" applyFill="1" applyBorder="1" applyAlignment="1">
      <alignment horizontal="center" wrapText="1"/>
    </xf>
    <xf numFmtId="4" fontId="54" fillId="0" borderId="18" xfId="0" applyNumberFormat="1" applyFont="1" applyFill="1" applyBorder="1" applyAlignment="1">
      <alignment horizontal="center" wrapText="1"/>
    </xf>
    <xf numFmtId="4" fontId="14" fillId="0" borderId="40" xfId="0" applyNumberFormat="1" applyFont="1" applyFill="1" applyBorder="1" applyAlignment="1">
      <alignment wrapText="1"/>
    </xf>
    <xf numFmtId="4" fontId="14" fillId="0" borderId="16" xfId="0" applyNumberFormat="1" applyFont="1" applyFill="1" applyBorder="1" applyAlignment="1">
      <alignment wrapText="1"/>
    </xf>
    <xf numFmtId="4" fontId="53" fillId="0" borderId="13" xfId="0" applyNumberFormat="1" applyFont="1" applyFill="1" applyBorder="1" applyAlignment="1">
      <alignment horizontal="center" wrapText="1"/>
    </xf>
    <xf numFmtId="4" fontId="46" fillId="0" borderId="13" xfId="0" applyNumberFormat="1" applyFont="1" applyFill="1" applyBorder="1" applyAlignment="1">
      <alignment horizontal="center" wrapText="1"/>
    </xf>
    <xf numFmtId="4" fontId="46" fillId="0" borderId="24" xfId="0" applyNumberFormat="1" applyFont="1" applyFill="1" applyBorder="1" applyAlignment="1">
      <alignment horizontal="center" wrapText="1"/>
    </xf>
    <xf numFmtId="4" fontId="46" fillId="0" borderId="11" xfId="0" applyNumberFormat="1" applyFont="1" applyFill="1" applyBorder="1" applyAlignment="1">
      <alignment horizontal="center" wrapText="1"/>
    </xf>
    <xf numFmtId="4" fontId="3" fillId="0" borderId="26" xfId="0" applyNumberFormat="1" applyFont="1" applyFill="1" applyBorder="1" applyAlignment="1">
      <alignment/>
    </xf>
    <xf numFmtId="164" fontId="11" fillId="0" borderId="13" xfId="0" applyNumberFormat="1" applyFont="1" applyFill="1" applyBorder="1" applyAlignment="1">
      <alignment horizontal="left" wrapText="1"/>
    </xf>
    <xf numFmtId="164" fontId="11" fillId="0" borderId="46" xfId="0" applyNumberFormat="1" applyFont="1" applyFill="1" applyBorder="1" applyAlignment="1">
      <alignment horizontal="left" wrapText="1"/>
    </xf>
    <xf numFmtId="4" fontId="6" fillId="7" borderId="13" xfId="0" applyNumberFormat="1" applyFont="1" applyFill="1" applyBorder="1" applyAlignment="1">
      <alignment horizontal="center"/>
    </xf>
    <xf numFmtId="4" fontId="6" fillId="7" borderId="46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wrapText="1"/>
    </xf>
    <xf numFmtId="4" fontId="18" fillId="0" borderId="13" xfId="0" applyNumberFormat="1" applyFont="1" applyFill="1" applyBorder="1" applyAlignment="1">
      <alignment horizontal="left" wrapText="1"/>
    </xf>
    <xf numFmtId="4" fontId="18" fillId="0" borderId="53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18" fillId="0" borderId="26" xfId="0" applyNumberFormat="1" applyFont="1" applyFill="1" applyBorder="1" applyAlignment="1">
      <alignment horizontal="left" wrapText="1"/>
    </xf>
    <xf numFmtId="4" fontId="18" fillId="0" borderId="22" xfId="0" applyNumberFormat="1" applyFont="1" applyFill="1" applyBorder="1" applyAlignment="1">
      <alignment horizontal="left" wrapText="1"/>
    </xf>
    <xf numFmtId="4" fontId="48" fillId="0" borderId="26" xfId="0" applyNumberFormat="1" applyFont="1" applyFill="1" applyBorder="1" applyAlignment="1">
      <alignment horizontal="left" wrapText="1"/>
    </xf>
    <xf numFmtId="4" fontId="48" fillId="0" borderId="22" xfId="0" applyNumberFormat="1" applyFont="1" applyFill="1" applyBorder="1" applyAlignment="1">
      <alignment horizontal="left" wrapText="1"/>
    </xf>
    <xf numFmtId="4" fontId="49" fillId="10" borderId="13" xfId="0" applyNumberFormat="1" applyFont="1" applyFill="1" applyBorder="1" applyAlignment="1">
      <alignment horizontal="left" wrapText="1"/>
    </xf>
    <xf numFmtId="4" fontId="49" fillId="10" borderId="46" xfId="0" applyNumberFormat="1" applyFont="1" applyFill="1" applyBorder="1" applyAlignment="1">
      <alignment horizontal="left" wrapText="1"/>
    </xf>
    <xf numFmtId="4" fontId="48" fillId="0" borderId="13" xfId="0" applyNumberFormat="1" applyFont="1" applyFill="1" applyBorder="1" applyAlignment="1">
      <alignment horizontal="left" wrapText="1"/>
    </xf>
    <xf numFmtId="0" fontId="1" fillId="0" borderId="61" xfId="0" applyFont="1" applyFill="1" applyBorder="1" applyAlignment="1">
      <alignment/>
    </xf>
    <xf numFmtId="0" fontId="1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"/>
  <sheetViews>
    <sheetView workbookViewId="0" topLeftCell="A4">
      <selection activeCell="B7" sqref="B7"/>
    </sheetView>
  </sheetViews>
  <sheetFormatPr defaultColWidth="9.00390625" defaultRowHeight="25.5" customHeight="1"/>
  <cols>
    <col min="1" max="1" width="3.875" style="1" customWidth="1"/>
    <col min="2" max="2" width="29.50390625" style="8" customWidth="1"/>
    <col min="3" max="3" width="10.75390625" style="75" hidden="1" customWidth="1"/>
    <col min="4" max="4" width="8.625" style="2" hidden="1" customWidth="1"/>
    <col min="5" max="5" width="8.75390625" style="2" hidden="1" customWidth="1"/>
    <col min="6" max="6" width="0" style="2" hidden="1" customWidth="1"/>
    <col min="7" max="7" width="9.875" style="2" hidden="1" customWidth="1"/>
    <col min="8" max="8" width="9.875" style="21" hidden="1" customWidth="1"/>
    <col min="9" max="9" width="8.875" style="21" hidden="1" customWidth="1"/>
    <col min="10" max="10" width="8.625" style="75" hidden="1" customWidth="1"/>
    <col min="11" max="11" width="8.75390625" style="21" hidden="1" customWidth="1"/>
    <col min="12" max="12" width="7.75390625" style="73" hidden="1" customWidth="1"/>
    <col min="13" max="13" width="8.625" style="21" hidden="1" customWidth="1"/>
    <col min="14" max="14" width="9.50390625" style="73" hidden="1" customWidth="1"/>
    <col min="15" max="15" width="8.50390625" style="73" hidden="1" customWidth="1"/>
    <col min="16" max="16" width="8.875" style="73" hidden="1" customWidth="1"/>
    <col min="17" max="17" width="9.25390625" style="73" hidden="1" customWidth="1"/>
    <col min="18" max="18" width="8.625" style="8" customWidth="1"/>
    <col min="19" max="20" width="8.625" style="2" hidden="1" customWidth="1"/>
    <col min="21" max="21" width="8.75390625" style="2" hidden="1" customWidth="1"/>
    <col min="22" max="22" width="7.875" style="77" hidden="1" customWidth="1"/>
    <col min="23" max="23" width="8.625" style="97" hidden="1" customWidth="1"/>
    <col min="24" max="24" width="9.375" style="2" hidden="1" customWidth="1"/>
    <col min="25" max="25" width="8.50390625" style="77" hidden="1" customWidth="1"/>
    <col min="26" max="26" width="8.625" style="77" hidden="1" customWidth="1"/>
    <col min="27" max="27" width="8.50390625" style="2" hidden="1" customWidth="1"/>
    <col min="28" max="28" width="8.00390625" style="2" hidden="1" customWidth="1"/>
    <col min="29" max="29" width="9.75390625" style="77" customWidth="1"/>
    <col min="30" max="30" width="8.625" style="77" hidden="1" customWidth="1"/>
    <col min="31" max="31" width="9.875" style="77" hidden="1" customWidth="1"/>
    <col min="32" max="32" width="11.50390625" style="77" hidden="1" customWidth="1"/>
    <col min="33" max="34" width="9.125" style="77" hidden="1" customWidth="1"/>
    <col min="35" max="36" width="8.625" style="77" hidden="1" customWidth="1"/>
    <col min="37" max="37" width="9.125" style="77" hidden="1" customWidth="1"/>
    <col min="38" max="38" width="8.625" style="77" hidden="1" customWidth="1"/>
    <col min="39" max="39" width="11.50390625" style="77" hidden="1" customWidth="1"/>
    <col min="40" max="40" width="9.125" style="77" hidden="1" customWidth="1"/>
    <col min="41" max="41" width="8.25390625" style="77" hidden="1" customWidth="1"/>
    <col min="42" max="43" width="8.625" style="77" hidden="1" customWidth="1"/>
    <col min="44" max="44" width="9.625" style="77" hidden="1" customWidth="1"/>
    <col min="45" max="47" width="7.75390625" style="77" hidden="1" customWidth="1"/>
    <col min="48" max="50" width="8.625" style="77" hidden="1" customWidth="1"/>
    <col min="51" max="51" width="8.75390625" style="77" hidden="1" customWidth="1"/>
    <col min="52" max="52" width="10.625" style="77" customWidth="1"/>
    <col min="53" max="53" width="7.50390625" style="77" hidden="1" customWidth="1"/>
    <col min="54" max="55" width="8.625" style="77" hidden="1" customWidth="1"/>
    <col min="56" max="56" width="11.25390625" style="128" customWidth="1"/>
    <col min="57" max="57" width="7.00390625" style="77" customWidth="1"/>
    <col min="58" max="59" width="9.875" style="77" customWidth="1"/>
    <col min="60" max="60" width="10.75390625" style="77" customWidth="1"/>
    <col min="61" max="61" width="5.625" style="77" customWidth="1"/>
    <col min="62" max="62" width="8.125" style="77" customWidth="1"/>
    <col min="63" max="63" width="10.125" style="77" customWidth="1"/>
    <col min="64" max="64" width="9.875" style="27" bestFit="1" customWidth="1"/>
    <col min="65" max="65" width="10.875" style="2" customWidth="1"/>
    <col min="66" max="66" width="0" style="1" hidden="1" customWidth="1"/>
    <col min="67" max="16384" width="9.00390625" style="1" customWidth="1"/>
  </cols>
  <sheetData>
    <row r="1" spans="1:65" s="3" customFormat="1" ht="14.25" customHeight="1">
      <c r="A1" s="12" t="s">
        <v>6</v>
      </c>
      <c r="B1" s="12"/>
      <c r="C1" s="74"/>
      <c r="D1" s="13"/>
      <c r="E1" s="13"/>
      <c r="F1" s="13"/>
      <c r="G1" s="13"/>
      <c r="H1" s="20"/>
      <c r="I1" s="20"/>
      <c r="J1" s="74"/>
      <c r="K1" s="20"/>
      <c r="L1" s="79"/>
      <c r="M1" s="20"/>
      <c r="N1" s="79"/>
      <c r="O1" s="79"/>
      <c r="P1" s="79"/>
      <c r="Q1" s="79"/>
      <c r="R1" s="12"/>
      <c r="S1" s="13"/>
      <c r="T1" s="13"/>
      <c r="U1" s="13"/>
      <c r="V1" s="128"/>
      <c r="W1" s="96"/>
      <c r="X1" s="13"/>
      <c r="Y1" s="128"/>
      <c r="Z1" s="128"/>
      <c r="AA1" s="13"/>
      <c r="AB1" s="13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26"/>
      <c r="BM1" s="13"/>
    </row>
    <row r="2" ht="43.5" customHeight="1">
      <c r="A2" s="8"/>
    </row>
    <row r="3" spans="1:65" s="3" customFormat="1" ht="19.5" customHeight="1" thickBot="1">
      <c r="A3" s="12" t="s">
        <v>55</v>
      </c>
      <c r="B3" s="12"/>
      <c r="C3" s="74"/>
      <c r="D3" s="13"/>
      <c r="E3" s="13"/>
      <c r="F3" s="13"/>
      <c r="G3" s="13"/>
      <c r="H3" s="20"/>
      <c r="I3" s="20"/>
      <c r="J3" s="74"/>
      <c r="K3" s="20"/>
      <c r="L3" s="79"/>
      <c r="M3" s="20"/>
      <c r="N3" s="79"/>
      <c r="O3" s="79"/>
      <c r="P3" s="79"/>
      <c r="Q3" s="79"/>
      <c r="R3" s="12"/>
      <c r="S3" s="13"/>
      <c r="T3" s="13"/>
      <c r="U3" s="13"/>
      <c r="V3" s="128"/>
      <c r="W3" s="96"/>
      <c r="X3" s="13"/>
      <c r="Y3" s="128"/>
      <c r="Z3" s="128"/>
      <c r="AA3" s="13"/>
      <c r="AB3" s="13"/>
      <c r="AC3" s="128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26"/>
      <c r="BM3" s="13"/>
    </row>
    <row r="4" spans="1:66" s="9" customFormat="1" ht="60.75" customHeight="1" thickBot="1">
      <c r="A4" s="15" t="s">
        <v>10</v>
      </c>
      <c r="B4" s="156" t="s">
        <v>0</v>
      </c>
      <c r="C4" s="237" t="s">
        <v>44</v>
      </c>
      <c r="D4" s="18" t="s">
        <v>45</v>
      </c>
      <c r="E4" s="38" t="s">
        <v>18</v>
      </c>
      <c r="F4" s="78" t="s">
        <v>46</v>
      </c>
      <c r="G4" s="163" t="s">
        <v>36</v>
      </c>
      <c r="H4" s="18" t="s">
        <v>47</v>
      </c>
      <c r="I4" s="164" t="s">
        <v>48</v>
      </c>
      <c r="J4" s="166" t="s">
        <v>49</v>
      </c>
      <c r="K4" s="38" t="s">
        <v>19</v>
      </c>
      <c r="L4" s="78" t="s">
        <v>50</v>
      </c>
      <c r="M4" s="19" t="s">
        <v>51</v>
      </c>
      <c r="N4" s="38" t="s">
        <v>32</v>
      </c>
      <c r="O4" s="78" t="s">
        <v>81</v>
      </c>
      <c r="P4" s="163" t="s">
        <v>76</v>
      </c>
      <c r="Q4" s="163" t="s">
        <v>77</v>
      </c>
      <c r="R4" s="256" t="s">
        <v>53</v>
      </c>
      <c r="S4" s="186" t="s">
        <v>67</v>
      </c>
      <c r="T4" s="212" t="s">
        <v>40</v>
      </c>
      <c r="U4" s="100" t="s">
        <v>33</v>
      </c>
      <c r="V4" s="78" t="s">
        <v>82</v>
      </c>
      <c r="W4" s="270" t="s">
        <v>68</v>
      </c>
      <c r="X4" s="100" t="s">
        <v>34</v>
      </c>
      <c r="Y4" s="301" t="s">
        <v>86</v>
      </c>
      <c r="Z4" s="271" t="s">
        <v>69</v>
      </c>
      <c r="AA4" s="112" t="s">
        <v>35</v>
      </c>
      <c r="AB4" s="211" t="s">
        <v>87</v>
      </c>
      <c r="AC4" s="256" t="s">
        <v>66</v>
      </c>
      <c r="AD4" s="320" t="s">
        <v>88</v>
      </c>
      <c r="AE4" s="112" t="s">
        <v>104</v>
      </c>
      <c r="AF4" s="211" t="s">
        <v>105</v>
      </c>
      <c r="AG4" s="78" t="s">
        <v>113</v>
      </c>
      <c r="AH4" s="391" t="s">
        <v>111</v>
      </c>
      <c r="AI4" s="352" t="s">
        <v>99</v>
      </c>
      <c r="AJ4" s="320" t="s">
        <v>95</v>
      </c>
      <c r="AK4" s="386" t="s">
        <v>114</v>
      </c>
      <c r="AL4" s="112" t="s">
        <v>116</v>
      </c>
      <c r="AM4" s="211" t="s">
        <v>117</v>
      </c>
      <c r="AN4" s="78" t="s">
        <v>113</v>
      </c>
      <c r="AO4" s="391" t="s">
        <v>118</v>
      </c>
      <c r="AP4" s="216" t="s">
        <v>96</v>
      </c>
      <c r="AQ4" s="386" t="s">
        <v>120</v>
      </c>
      <c r="AR4" s="352" t="s">
        <v>125</v>
      </c>
      <c r="AS4" s="410" t="s">
        <v>126</v>
      </c>
      <c r="AT4" s="410" t="s">
        <v>127</v>
      </c>
      <c r="AU4" s="410" t="s">
        <v>128</v>
      </c>
      <c r="AV4" s="411" t="s">
        <v>129</v>
      </c>
      <c r="AW4" s="112" t="s">
        <v>136</v>
      </c>
      <c r="AX4" s="211" t="s">
        <v>137</v>
      </c>
      <c r="AY4" s="78" t="s">
        <v>113</v>
      </c>
      <c r="AZ4" s="425" t="s">
        <v>140</v>
      </c>
      <c r="BA4" s="391" t="s">
        <v>138</v>
      </c>
      <c r="BB4" s="411" t="s">
        <v>130</v>
      </c>
      <c r="BC4" s="411" t="s">
        <v>130</v>
      </c>
      <c r="BD4" s="477" t="s">
        <v>139</v>
      </c>
      <c r="BE4" s="320" t="s">
        <v>142</v>
      </c>
      <c r="BF4" s="411" t="s">
        <v>131</v>
      </c>
      <c r="BG4" s="352" t="s">
        <v>147</v>
      </c>
      <c r="BH4" s="472" t="s">
        <v>148</v>
      </c>
      <c r="BI4" s="320" t="s">
        <v>101</v>
      </c>
      <c r="BJ4" s="410" t="s">
        <v>149</v>
      </c>
      <c r="BK4" s="338" t="s">
        <v>150</v>
      </c>
      <c r="BL4" s="377" t="s">
        <v>108</v>
      </c>
      <c r="BM4" s="362" t="s">
        <v>141</v>
      </c>
      <c r="BN4" s="123" t="s">
        <v>145</v>
      </c>
    </row>
    <row r="5" spans="1:66" s="5" customFormat="1" ht="26.25" customHeight="1">
      <c r="A5" s="4">
        <v>1</v>
      </c>
      <c r="B5" s="157" t="s">
        <v>8</v>
      </c>
      <c r="C5" s="194">
        <v>637585</v>
      </c>
      <c r="D5" s="33">
        <v>83839.09033319999</v>
      </c>
      <c r="E5" s="47">
        <v>44463</v>
      </c>
      <c r="F5" s="33">
        <f>D5-E5</f>
        <v>39376.09033319999</v>
      </c>
      <c r="G5" s="33">
        <v>0</v>
      </c>
      <c r="H5" s="33">
        <v>84798.533457</v>
      </c>
      <c r="I5" s="33">
        <v>0</v>
      </c>
      <c r="J5" s="249">
        <v>84798.533457</v>
      </c>
      <c r="K5" s="47">
        <v>84784</v>
      </c>
      <c r="L5" s="33">
        <f>J5-K5</f>
        <v>14.533456999997725</v>
      </c>
      <c r="M5" s="33">
        <v>84798.53</v>
      </c>
      <c r="N5" s="47">
        <v>84794</v>
      </c>
      <c r="O5" s="33">
        <f>M5-N5</f>
        <v>4.529999999998836</v>
      </c>
      <c r="P5" s="33">
        <f>R5/3</f>
        <v>71347</v>
      </c>
      <c r="Q5" s="33">
        <f>P5*P23/100</f>
        <v>765.9682779537443</v>
      </c>
      <c r="R5" s="84">
        <f>E5+K5+N5</f>
        <v>214041</v>
      </c>
      <c r="S5" s="278">
        <v>80000</v>
      </c>
      <c r="T5" s="187">
        <f>Q5+S5</f>
        <v>80765.96827795374</v>
      </c>
      <c r="U5" s="296">
        <v>80762</v>
      </c>
      <c r="V5" s="23">
        <f>T5-U5</f>
        <v>3.9682779537397437</v>
      </c>
      <c r="W5" s="99">
        <v>80307.21</v>
      </c>
      <c r="X5" s="108">
        <v>80298</v>
      </c>
      <c r="Y5" s="308">
        <f>W5-X5</f>
        <v>9.210000000006403</v>
      </c>
      <c r="Z5" s="176">
        <v>85734.77</v>
      </c>
      <c r="AA5" s="108">
        <v>85733</v>
      </c>
      <c r="AB5" s="93">
        <f>Z5-AA5</f>
        <v>1.7700000000040745</v>
      </c>
      <c r="AC5" s="84">
        <f>U5+X5+AA5</f>
        <v>246793</v>
      </c>
      <c r="AD5" s="231">
        <v>98229.06</v>
      </c>
      <c r="AE5" s="130">
        <v>98141</v>
      </c>
      <c r="AF5" s="231">
        <f>AD5-AE5</f>
        <v>88.05999999999767</v>
      </c>
      <c r="AG5" s="231"/>
      <c r="AH5" s="220"/>
      <c r="AI5" s="358">
        <v>247097.39</v>
      </c>
      <c r="AJ5" s="231">
        <v>85000</v>
      </c>
      <c r="AK5" s="231">
        <f>AH5+AJ5</f>
        <v>85000</v>
      </c>
      <c r="AL5" s="130">
        <v>84997</v>
      </c>
      <c r="AM5" s="231">
        <f>AK5-AL5</f>
        <v>3</v>
      </c>
      <c r="AN5" s="231"/>
      <c r="AO5" s="384">
        <v>0</v>
      </c>
      <c r="AP5" s="231">
        <v>75000</v>
      </c>
      <c r="AQ5" s="384">
        <f>AO5+AP5</f>
        <v>75000</v>
      </c>
      <c r="AR5" s="358">
        <v>80659.8</v>
      </c>
      <c r="AS5" s="231">
        <v>10000</v>
      </c>
      <c r="AT5" s="231">
        <v>5000</v>
      </c>
      <c r="AU5" s="231">
        <v>65659.8</v>
      </c>
      <c r="AV5" s="416">
        <f>AQ5+AS5</f>
        <v>85000</v>
      </c>
      <c r="AW5" s="130">
        <v>84982</v>
      </c>
      <c r="AX5" s="231">
        <f>AV5-AW5</f>
        <v>18</v>
      </c>
      <c r="AY5" s="231"/>
      <c r="AZ5" s="203">
        <f>AE5+AL5+AW5</f>
        <v>268120</v>
      </c>
      <c r="BA5" s="231"/>
      <c r="BB5" s="231">
        <v>80000</v>
      </c>
      <c r="BC5" s="416">
        <f>AT5+BB5</f>
        <v>85000</v>
      </c>
      <c r="BD5" s="450">
        <f>BA5+BC5</f>
        <v>85000</v>
      </c>
      <c r="BE5" s="231">
        <v>7097.390000000014</v>
      </c>
      <c r="BF5" s="416">
        <f>AU5+BE5</f>
        <v>72757.19000000002</v>
      </c>
      <c r="BG5" s="358">
        <v>54501.15</v>
      </c>
      <c r="BH5" s="475">
        <f>10000+BF5</f>
        <v>82757.19000000002</v>
      </c>
      <c r="BI5" s="231">
        <v>0</v>
      </c>
      <c r="BJ5" s="231">
        <v>44501.15</v>
      </c>
      <c r="BK5" s="360">
        <f>BD5+BH5+BJ5</f>
        <v>212258.34</v>
      </c>
      <c r="BL5" s="170">
        <f>R5+AC5+AZ5+BK5</f>
        <v>941212.34</v>
      </c>
      <c r="BM5" s="194">
        <f>R5+AC5+AZ5</f>
        <v>728954</v>
      </c>
      <c r="BN5" s="176">
        <f>BA5-AX5</f>
        <v>-18</v>
      </c>
    </row>
    <row r="6" spans="1:66" s="5" customFormat="1" ht="26.25" customHeight="1">
      <c r="A6" s="4">
        <v>2</v>
      </c>
      <c r="B6" s="158" t="s">
        <v>9</v>
      </c>
      <c r="C6" s="195">
        <v>451171</v>
      </c>
      <c r="D6" s="34">
        <f>40008.19+5891.81</f>
        <v>45900</v>
      </c>
      <c r="E6" s="49">
        <v>45900</v>
      </c>
      <c r="F6" s="33">
        <f>D6-E6</f>
        <v>0</v>
      </c>
      <c r="G6" s="33">
        <f>(C6+E6)/13</f>
        <v>38236.230769230766</v>
      </c>
      <c r="H6" s="34">
        <v>40425.887475</v>
      </c>
      <c r="I6" s="33">
        <v>14830.144258813518</v>
      </c>
      <c r="J6" s="250">
        <v>56420.00173381352</v>
      </c>
      <c r="K6" s="47">
        <v>56420</v>
      </c>
      <c r="L6" s="33">
        <f>J6-K6</f>
        <v>0.00173381352215074</v>
      </c>
      <c r="M6" s="34">
        <f>40425.89</f>
        <v>40425.89</v>
      </c>
      <c r="N6" s="47">
        <v>58610</v>
      </c>
      <c r="O6" s="287">
        <f>M6-N6</f>
        <v>-18184.11</v>
      </c>
      <c r="P6" s="33">
        <f>R6/3</f>
        <v>53643.333333333336</v>
      </c>
      <c r="Q6" s="33">
        <f>P6*P23/100</f>
        <v>575.9049666703859</v>
      </c>
      <c r="R6" s="83">
        <f>E6+K6+N6</f>
        <v>160930</v>
      </c>
      <c r="S6" s="279">
        <v>43000</v>
      </c>
      <c r="T6" s="294">
        <f>Q6+S6</f>
        <v>43575.90496667039</v>
      </c>
      <c r="U6" s="296">
        <v>56644</v>
      </c>
      <c r="V6" s="300">
        <f>T6-U6</f>
        <v>-13068.095033329613</v>
      </c>
      <c r="W6" s="99">
        <v>41105.9</v>
      </c>
      <c r="X6" s="85">
        <v>50282</v>
      </c>
      <c r="Y6" s="309">
        <f>W6-X6</f>
        <v>-9176.099999999999</v>
      </c>
      <c r="Z6" s="89">
        <v>44851.91</v>
      </c>
      <c r="AA6" s="85">
        <v>54515</v>
      </c>
      <c r="AB6" s="327">
        <f>Z6-AA6</f>
        <v>-9663.089999999997</v>
      </c>
      <c r="AC6" s="83">
        <f>U6+X6+AA6</f>
        <v>161441</v>
      </c>
      <c r="AD6" s="232">
        <v>51388.27</v>
      </c>
      <c r="AE6" s="131">
        <v>40144</v>
      </c>
      <c r="AF6" s="232">
        <f>AD6-AE6</f>
        <v>11244.269999999997</v>
      </c>
      <c r="AG6" s="232"/>
      <c r="AH6" s="221"/>
      <c r="AI6" s="340">
        <v>101569.57</v>
      </c>
      <c r="AJ6" s="232">
        <v>50000</v>
      </c>
      <c r="AK6" s="232">
        <f>AH6+AJ6</f>
        <v>50000</v>
      </c>
      <c r="AL6" s="131">
        <v>42462</v>
      </c>
      <c r="AM6" s="232">
        <f>AK6-AL6</f>
        <v>7538</v>
      </c>
      <c r="AN6" s="232"/>
      <c r="AO6" s="385">
        <v>0</v>
      </c>
      <c r="AP6" s="232">
        <v>40000</v>
      </c>
      <c r="AQ6" s="385">
        <f>AO6+AP6</f>
        <v>40000</v>
      </c>
      <c r="AR6" s="340">
        <v>33155.27</v>
      </c>
      <c r="AS6" s="232">
        <v>0</v>
      </c>
      <c r="AT6" s="232">
        <v>25000</v>
      </c>
      <c r="AU6" s="232">
        <v>8155.27</v>
      </c>
      <c r="AV6" s="417">
        <f>AQ6+AS6</f>
        <v>40000</v>
      </c>
      <c r="AW6" s="131">
        <v>49204</v>
      </c>
      <c r="AX6" s="309">
        <f>AV6-AW6</f>
        <v>-9204</v>
      </c>
      <c r="AY6" s="232"/>
      <c r="AZ6" s="204">
        <f>AE6+AL6+AW6</f>
        <v>131810</v>
      </c>
      <c r="BA6" s="232"/>
      <c r="BB6" s="232">
        <v>11569.57</v>
      </c>
      <c r="BC6" s="417">
        <f>AT6+BB6</f>
        <v>36569.57</v>
      </c>
      <c r="BD6" s="451">
        <f>BA6+BC6</f>
        <v>36569.57</v>
      </c>
      <c r="BE6" s="232">
        <v>0</v>
      </c>
      <c r="BF6" s="417">
        <f>AU6+BE6</f>
        <v>8155.27</v>
      </c>
      <c r="BG6" s="340">
        <v>22402.74</v>
      </c>
      <c r="BH6" s="476">
        <f>BG6+BF6</f>
        <v>30558.010000000002</v>
      </c>
      <c r="BI6" s="232">
        <v>0</v>
      </c>
      <c r="BJ6" s="232">
        <v>0</v>
      </c>
      <c r="BK6" s="361">
        <f>BD6+BH6+BJ6</f>
        <v>67127.58</v>
      </c>
      <c r="BL6" s="169">
        <f>R6+AC6+AZ6+BK6</f>
        <v>521308.58</v>
      </c>
      <c r="BM6" s="195">
        <f>R6+AC6+AZ6</f>
        <v>454181</v>
      </c>
      <c r="BN6" s="89">
        <f>BA6</f>
        <v>0</v>
      </c>
    </row>
    <row r="7" spans="1:66" s="5" customFormat="1" ht="24" customHeight="1">
      <c r="A7" s="4">
        <v>3</v>
      </c>
      <c r="B7" s="499" t="s">
        <v>152</v>
      </c>
      <c r="C7" s="195">
        <v>588645</v>
      </c>
      <c r="D7" s="34">
        <f>20599.31+62630+1705.69</f>
        <v>84935</v>
      </c>
      <c r="E7" s="49">
        <v>84935</v>
      </c>
      <c r="F7" s="33">
        <f>D7-E7</f>
        <v>0</v>
      </c>
      <c r="G7" s="33">
        <f>(C7+E7)/13</f>
        <v>51813.846153846156</v>
      </c>
      <c r="H7" s="34">
        <v>19071.43</v>
      </c>
      <c r="I7" s="33">
        <v>20096.301272557863</v>
      </c>
      <c r="J7" s="250">
        <v>102015.00127255787</v>
      </c>
      <c r="K7" s="47">
        <v>102015</v>
      </c>
      <c r="L7" s="33">
        <f>J7-K7</f>
        <v>0.0012725578708341345</v>
      </c>
      <c r="M7" s="34">
        <f>20777.12-1687.27</f>
        <v>19089.85</v>
      </c>
      <c r="N7" s="47">
        <v>98360</v>
      </c>
      <c r="O7" s="287">
        <f>M7-N7</f>
        <v>-79270.15</v>
      </c>
      <c r="P7" s="33">
        <f>R7/3</f>
        <v>95103.33333333333</v>
      </c>
      <c r="Q7" s="33">
        <f>P7*P23/100</f>
        <v>1021.0119060506294</v>
      </c>
      <c r="R7" s="83">
        <f>E7+K7+N7</f>
        <v>285310</v>
      </c>
      <c r="S7" s="279">
        <v>23000</v>
      </c>
      <c r="T7" s="294">
        <f>Q7+S7+183.99</f>
        <v>24205.00190605063</v>
      </c>
      <c r="U7" s="296">
        <v>107505</v>
      </c>
      <c r="V7" s="300">
        <f>T7-U7</f>
        <v>-83299.99809394937</v>
      </c>
      <c r="W7" s="99">
        <f>21213.26-183.99+2045.73</f>
        <v>23074.999999999996</v>
      </c>
      <c r="X7" s="85">
        <v>136650</v>
      </c>
      <c r="Y7" s="309">
        <f>W7-X7</f>
        <v>-113575</v>
      </c>
      <c r="Z7" s="89">
        <f>23449.06-2045.73</f>
        <v>21403.33</v>
      </c>
      <c r="AA7" s="85">
        <v>104345</v>
      </c>
      <c r="AB7" s="327">
        <f>Z7-AA7</f>
        <v>-82941.67</v>
      </c>
      <c r="AC7" s="83">
        <f>U7+X7+AA7</f>
        <v>348500</v>
      </c>
      <c r="AD7" s="232">
        <v>26866.34</v>
      </c>
      <c r="AE7" s="131">
        <v>126200</v>
      </c>
      <c r="AF7" s="309">
        <f>AD7-AE7</f>
        <v>-99333.66</v>
      </c>
      <c r="AG7" s="232">
        <f>(R7+AC7+AE7)/7</f>
        <v>108572.85714285714</v>
      </c>
      <c r="AH7" s="221">
        <f>AG7*AH23/100</f>
        <v>-163105.77002921692</v>
      </c>
      <c r="AI7" s="340">
        <v>52662.63</v>
      </c>
      <c r="AJ7" s="232">
        <v>26000</v>
      </c>
      <c r="AK7" s="385">
        <f>AH7+AJ7+839.79</f>
        <v>-136265.9800292169</v>
      </c>
      <c r="AL7" s="131">
        <v>104770</v>
      </c>
      <c r="AM7" s="309">
        <f>AK7-AL7</f>
        <v>-241035.9800292169</v>
      </c>
      <c r="AN7" s="232">
        <f>(R7+AC7+AE7+AL7)/8</f>
        <v>108097.5</v>
      </c>
      <c r="AO7" s="385">
        <v>7135.217000270646</v>
      </c>
      <c r="AP7" s="232">
        <f>20000-839.79</f>
        <v>19160.21</v>
      </c>
      <c r="AQ7" s="385">
        <f>AO7+AP7</f>
        <v>26295.427000270647</v>
      </c>
      <c r="AR7" s="340">
        <v>17190.62</v>
      </c>
      <c r="AS7" s="232">
        <v>0</v>
      </c>
      <c r="AT7" s="232">
        <f>AR7</f>
        <v>17190.62</v>
      </c>
      <c r="AU7" s="232">
        <v>0</v>
      </c>
      <c r="AV7" s="417">
        <f>AQ7+AS7+69.57</f>
        <v>26364.997000270647</v>
      </c>
      <c r="AW7" s="131">
        <v>94060</v>
      </c>
      <c r="AX7" s="309">
        <f>AV7-AW7</f>
        <v>-67695.00299972936</v>
      </c>
      <c r="AY7" s="232">
        <f>(R7+AC7+AZ7)/9</f>
        <v>106537.77777777778</v>
      </c>
      <c r="AZ7" s="204">
        <f>AE7+AL7+AW7</f>
        <v>325030</v>
      </c>
      <c r="BA7" s="232">
        <f>AY7*AY22/100</f>
        <v>2131.3802745160656</v>
      </c>
      <c r="BB7" s="232">
        <v>6662.63</v>
      </c>
      <c r="BC7" s="417">
        <f>AT7+BB7-69.57</f>
        <v>23783.68</v>
      </c>
      <c r="BD7" s="451">
        <f>BA7+BC7</f>
        <v>25915.060274516065</v>
      </c>
      <c r="BE7" s="232">
        <v>0</v>
      </c>
      <c r="BF7" s="417">
        <f>AU7+BE7</f>
        <v>0</v>
      </c>
      <c r="BG7" s="340">
        <v>11615.56</v>
      </c>
      <c r="BH7" s="476">
        <f>BG7+BF7</f>
        <v>11615.56</v>
      </c>
      <c r="BI7" s="232">
        <v>0</v>
      </c>
      <c r="BJ7" s="232">
        <v>0</v>
      </c>
      <c r="BK7" s="361">
        <f aca="true" t="shared" si="0" ref="BK7:BK19">BD7+BH7+BJ7</f>
        <v>37530.62027451606</v>
      </c>
      <c r="BL7" s="169">
        <f>R7+AC7+AZ7+BK7</f>
        <v>996370.620274516</v>
      </c>
      <c r="BM7" s="195">
        <f>R7+AC7+AZ7</f>
        <v>958840</v>
      </c>
      <c r="BN7" s="89">
        <f>BA7</f>
        <v>2131.3802745160656</v>
      </c>
    </row>
    <row r="8" spans="1:66" s="5" customFormat="1" ht="26.25" customHeight="1">
      <c r="A8" s="4">
        <v>4</v>
      </c>
      <c r="B8" s="158" t="s">
        <v>7</v>
      </c>
      <c r="C8" s="195">
        <v>240194</v>
      </c>
      <c r="D8" s="34">
        <f>12085.68+1024.32</f>
        <v>13110</v>
      </c>
      <c r="E8" s="49">
        <v>13110</v>
      </c>
      <c r="F8" s="33">
        <f>D8-E8</f>
        <v>0</v>
      </c>
      <c r="G8" s="33">
        <f>(C8+E8)/13</f>
        <v>19484.923076923078</v>
      </c>
      <c r="H8" s="34">
        <v>11210.74</v>
      </c>
      <c r="I8" s="33">
        <v>7557.340624044654</v>
      </c>
      <c r="J8" s="250">
        <v>20608.000624044653</v>
      </c>
      <c r="K8" s="47">
        <v>20608</v>
      </c>
      <c r="L8" s="33">
        <f>J8-K8</f>
        <v>0.0006240446527954191</v>
      </c>
      <c r="M8" s="34">
        <f>12235.06-1839.92</f>
        <v>10395.14</v>
      </c>
      <c r="N8" s="47">
        <v>10391</v>
      </c>
      <c r="O8" s="33">
        <f>M8-N8</f>
        <v>4.139999999999418</v>
      </c>
      <c r="P8" s="33">
        <f>R8/3</f>
        <v>14703</v>
      </c>
      <c r="Q8" s="33">
        <f>P8*P23/100</f>
        <v>157.8487054922267</v>
      </c>
      <c r="R8" s="83">
        <f>E8+K8+N8</f>
        <v>44109</v>
      </c>
      <c r="S8" s="279">
        <v>13000</v>
      </c>
      <c r="T8" s="294">
        <f>Q8+S8+1307.15</f>
        <v>14464.998705492226</v>
      </c>
      <c r="U8" s="296">
        <v>14465</v>
      </c>
      <c r="V8" s="89">
        <f>T8-U8</f>
        <v>-0.0012945077742188005</v>
      </c>
      <c r="W8" s="99">
        <f>12429.61-1307.15+1103.54</f>
        <v>12226</v>
      </c>
      <c r="X8" s="85">
        <v>12226</v>
      </c>
      <c r="Y8" s="25">
        <f>W8-X8</f>
        <v>0</v>
      </c>
      <c r="Z8" s="89">
        <f>13643.27-1103.54</f>
        <v>12539.73</v>
      </c>
      <c r="AA8" s="85">
        <v>12536</v>
      </c>
      <c r="AB8" s="91">
        <f>Z8-AA8</f>
        <v>3.7299999999995634</v>
      </c>
      <c r="AC8" s="83">
        <f>U8+X8+AA8</f>
        <v>39227</v>
      </c>
      <c r="AD8" s="232">
        <f>15631.53+1325.47</f>
        <v>16957</v>
      </c>
      <c r="AE8" s="131">
        <v>16957</v>
      </c>
      <c r="AF8" s="232">
        <f>AD8-AE8</f>
        <v>0</v>
      </c>
      <c r="AG8" s="232">
        <f>(R8+AC8+AE8)/7</f>
        <v>14327.57142857143</v>
      </c>
      <c r="AH8" s="221">
        <f>AG8*AH23/100</f>
        <v>-21523.883887764965</v>
      </c>
      <c r="AI8" s="340">
        <v>29265.03</v>
      </c>
      <c r="AJ8" s="232">
        <f>10000-1325.47</f>
        <v>8674.53</v>
      </c>
      <c r="AK8" s="385">
        <f>AH8+AJ8+242.4</f>
        <v>-12606.953887764965</v>
      </c>
      <c r="AL8" s="131">
        <v>10967</v>
      </c>
      <c r="AM8" s="232">
        <f>AK8-AL8</f>
        <v>-23573.953887764965</v>
      </c>
      <c r="AN8" s="232">
        <f>(R8+AC8+AE8+AL8)/8</f>
        <v>13907.5</v>
      </c>
      <c r="AO8" s="385">
        <v>917.9956098084047</v>
      </c>
      <c r="AP8" s="232">
        <f>14000-242.4</f>
        <v>13757.6</v>
      </c>
      <c r="AQ8" s="385">
        <f>AP8</f>
        <v>13757.6</v>
      </c>
      <c r="AR8" s="340">
        <v>9552.96</v>
      </c>
      <c r="AS8" s="232">
        <v>0</v>
      </c>
      <c r="AT8" s="232">
        <v>6000</v>
      </c>
      <c r="AU8" s="232">
        <v>3552.96</v>
      </c>
      <c r="AV8" s="417">
        <f>AQ8+AS8</f>
        <v>13757.6</v>
      </c>
      <c r="AW8" s="131">
        <v>13747</v>
      </c>
      <c r="AX8" s="232">
        <f>AV8-AW8</f>
        <v>10.600000000000364</v>
      </c>
      <c r="AY8" s="232"/>
      <c r="AZ8" s="204">
        <f>AE8+AL8+AW8</f>
        <v>41671</v>
      </c>
      <c r="BA8" s="232"/>
      <c r="BB8" s="232">
        <f>5265.03+AO8</f>
        <v>6183.025609808405</v>
      </c>
      <c r="BC8" s="417">
        <f>AT8+BB8</f>
        <v>12183.025609808405</v>
      </c>
      <c r="BD8" s="451">
        <f>BA8+BC8</f>
        <v>12183.025609808405</v>
      </c>
      <c r="BE8" s="232">
        <v>0</v>
      </c>
      <c r="BF8" s="417">
        <f>AU8+BE8</f>
        <v>3552.96</v>
      </c>
      <c r="BG8" s="340">
        <v>6454.85</v>
      </c>
      <c r="BH8" s="476">
        <f>BG8+BF8</f>
        <v>10007.810000000001</v>
      </c>
      <c r="BI8" s="232">
        <v>0</v>
      </c>
      <c r="BJ8" s="232">
        <v>0</v>
      </c>
      <c r="BK8" s="361">
        <f t="shared" si="0"/>
        <v>22190.835609808404</v>
      </c>
      <c r="BL8" s="169">
        <f>R8+AC8+AZ8+BK8</f>
        <v>147197.8356098084</v>
      </c>
      <c r="BM8" s="195">
        <f>R8+AC8+AZ8</f>
        <v>125007</v>
      </c>
      <c r="BN8" s="89">
        <f>BA8-AX8</f>
        <v>-10.600000000000364</v>
      </c>
    </row>
    <row r="9" spans="1:66" s="5" customFormat="1" ht="26.25" customHeight="1">
      <c r="A9" s="4">
        <v>5</v>
      </c>
      <c r="B9" s="158" t="s">
        <v>11</v>
      </c>
      <c r="C9" s="195">
        <v>133985</v>
      </c>
      <c r="D9" s="34">
        <v>6790.668842</v>
      </c>
      <c r="E9" s="49">
        <v>6790</v>
      </c>
      <c r="F9" s="33">
        <f>D9-E9</f>
        <v>0.6688420000000406</v>
      </c>
      <c r="G9" s="33">
        <f>(C9+E9)/13</f>
        <v>10828.846153846154</v>
      </c>
      <c r="H9" s="34">
        <v>6874.60052625</v>
      </c>
      <c r="I9" s="33">
        <v>4200.030897063947</v>
      </c>
      <c r="J9" s="250">
        <v>12245.001423313948</v>
      </c>
      <c r="K9" s="47">
        <v>12245</v>
      </c>
      <c r="L9" s="33">
        <f>J9-K9</f>
        <v>0.0014233139481802937</v>
      </c>
      <c r="M9" s="34">
        <f>6874.6-1095.37</f>
        <v>5779.2300000000005</v>
      </c>
      <c r="N9" s="47">
        <v>6135</v>
      </c>
      <c r="O9" s="287">
        <f>M9-N9</f>
        <v>-355.7699999999995</v>
      </c>
      <c r="P9" s="33">
        <f>R9/3</f>
        <v>8390</v>
      </c>
      <c r="Q9" s="33">
        <f>P9*P23/100</f>
        <v>90.07349786300634</v>
      </c>
      <c r="R9" s="83">
        <f>E9+K9+N9</f>
        <v>25170</v>
      </c>
      <c r="S9" s="279">
        <v>7200</v>
      </c>
      <c r="T9" s="294">
        <f>Q9+S9+724.93</f>
        <v>8015.0034978630065</v>
      </c>
      <c r="U9" s="296">
        <v>8015</v>
      </c>
      <c r="V9" s="89">
        <f>T9-U9</f>
        <v>0.003497863006487023</v>
      </c>
      <c r="W9" s="99">
        <f>6917.14-724.93+617.79</f>
        <v>6810</v>
      </c>
      <c r="X9" s="85">
        <v>6980</v>
      </c>
      <c r="Y9" s="309">
        <f>W9-X9</f>
        <v>-170</v>
      </c>
      <c r="Z9" s="89">
        <f>7574-617.79</f>
        <v>6956.21</v>
      </c>
      <c r="AA9" s="85">
        <v>6945</v>
      </c>
      <c r="AB9" s="91">
        <f>Z9-AA9</f>
        <v>11.210000000000036</v>
      </c>
      <c r="AC9" s="83">
        <f>U9+X9+AA9</f>
        <v>21940</v>
      </c>
      <c r="AD9" s="232">
        <f>8677.78+842.22</f>
        <v>9520</v>
      </c>
      <c r="AE9" s="131">
        <v>9520</v>
      </c>
      <c r="AF9" s="232">
        <f>AD9-AE9</f>
        <v>0</v>
      </c>
      <c r="AG9" s="232">
        <f>(R9+AC9+AE9)/7</f>
        <v>8090</v>
      </c>
      <c r="AH9" s="221">
        <f>AG9*AH23/100</f>
        <v>-12153.366083018058</v>
      </c>
      <c r="AI9" s="340">
        <v>16246.36</v>
      </c>
      <c r="AJ9" s="232">
        <f>9000-842.22</f>
        <v>8157.78</v>
      </c>
      <c r="AK9" s="385">
        <f>AH9+AJ9</f>
        <v>-3995.586083018058</v>
      </c>
      <c r="AL9" s="131">
        <v>9555</v>
      </c>
      <c r="AM9" s="309">
        <f>AK9-AL9</f>
        <v>-13550.586083018057</v>
      </c>
      <c r="AN9" s="232">
        <f>(R9+AC9+AE9+AL9)/8</f>
        <v>8273.125</v>
      </c>
      <c r="AO9" s="385">
        <v>546.0860995431356</v>
      </c>
      <c r="AP9" s="232">
        <v>7246.36</v>
      </c>
      <c r="AQ9" s="385">
        <f>AO9+AP9</f>
        <v>7792.4460995431355</v>
      </c>
      <c r="AR9" s="340">
        <v>5303.29</v>
      </c>
      <c r="AS9" s="232">
        <v>0</v>
      </c>
      <c r="AT9" s="232">
        <f>AR9</f>
        <v>5303.29</v>
      </c>
      <c r="AU9" s="232">
        <v>0</v>
      </c>
      <c r="AV9" s="417">
        <f>AQ9+AS9</f>
        <v>7792.4460995431355</v>
      </c>
      <c r="AW9" s="131">
        <v>8430</v>
      </c>
      <c r="AX9" s="309">
        <f>AV9-AW9</f>
        <v>-637.5539004568645</v>
      </c>
      <c r="AY9" s="232">
        <f>(R9+AC9+AZ9)/9</f>
        <v>8290.555555555555</v>
      </c>
      <c r="AZ9" s="204">
        <f>AE9+AL9+AW9</f>
        <v>27505</v>
      </c>
      <c r="BA9" s="232">
        <f>AY9*AY22/100</f>
        <v>165.85972548393497</v>
      </c>
      <c r="BB9" s="232">
        <v>0</v>
      </c>
      <c r="BC9" s="417">
        <f>AT9+BB9</f>
        <v>5303.29</v>
      </c>
      <c r="BD9" s="451">
        <f>BA9+BC9</f>
        <v>5469.149725483935</v>
      </c>
      <c r="BE9" s="232">
        <v>0</v>
      </c>
      <c r="BF9" s="417">
        <f>AU9+BE9</f>
        <v>0</v>
      </c>
      <c r="BG9" s="340">
        <v>3583.39</v>
      </c>
      <c r="BH9" s="476">
        <f>BG9+BF9</f>
        <v>3583.39</v>
      </c>
      <c r="BI9" s="232">
        <v>0</v>
      </c>
      <c r="BJ9" s="232">
        <v>0</v>
      </c>
      <c r="BK9" s="361">
        <f t="shared" si="0"/>
        <v>9052.539725483935</v>
      </c>
      <c r="BL9" s="169">
        <f>R9+AC9+AZ9+BK9</f>
        <v>83667.53972548393</v>
      </c>
      <c r="BM9" s="195">
        <f>R9+AC9+AZ9</f>
        <v>74615</v>
      </c>
      <c r="BN9" s="89">
        <f>BA9</f>
        <v>165.85972548393497</v>
      </c>
    </row>
    <row r="10" spans="1:66" s="5" customFormat="1" ht="20.25" customHeight="1">
      <c r="A10" s="4"/>
      <c r="B10" s="159" t="s">
        <v>1</v>
      </c>
      <c r="C10" s="50">
        <f aca="true" t="shared" si="1" ref="C10:N10">SUM(C5:C9)</f>
        <v>2051580</v>
      </c>
      <c r="D10" s="50">
        <f t="shared" si="1"/>
        <v>234574.75917520002</v>
      </c>
      <c r="E10" s="50">
        <f t="shared" si="1"/>
        <v>195198</v>
      </c>
      <c r="F10" s="50">
        <f t="shared" si="1"/>
        <v>39376.759175199986</v>
      </c>
      <c r="G10" s="50">
        <f t="shared" si="1"/>
        <v>120363.84615384616</v>
      </c>
      <c r="H10" s="50">
        <f t="shared" si="1"/>
        <v>162381.19145825</v>
      </c>
      <c r="I10" s="50">
        <f t="shared" si="1"/>
        <v>46683.817052479986</v>
      </c>
      <c r="J10" s="50">
        <f t="shared" si="1"/>
        <v>276086.53851072997</v>
      </c>
      <c r="K10" s="50">
        <f t="shared" si="1"/>
        <v>276072</v>
      </c>
      <c r="L10" s="50">
        <f t="shared" si="1"/>
        <v>14.538510729991685</v>
      </c>
      <c r="M10" s="50">
        <f t="shared" si="1"/>
        <v>160488.63999999998</v>
      </c>
      <c r="N10" s="50">
        <f t="shared" si="1"/>
        <v>258290</v>
      </c>
      <c r="O10" s="50">
        <f>O5+O8</f>
        <v>8.669999999998254</v>
      </c>
      <c r="P10" s="50">
        <f aca="true" t="shared" si="2" ref="P10:AE10">SUM(P5:P9)</f>
        <v>243186.6666666667</v>
      </c>
      <c r="Q10" s="184">
        <f t="shared" si="2"/>
        <v>2610.8073540299924</v>
      </c>
      <c r="R10" s="184">
        <f t="shared" si="2"/>
        <v>729560</v>
      </c>
      <c r="S10" s="184">
        <f t="shared" si="2"/>
        <v>166200</v>
      </c>
      <c r="T10" s="184">
        <f t="shared" si="2"/>
        <v>171026.87735403</v>
      </c>
      <c r="U10" s="184">
        <f t="shared" si="2"/>
        <v>267391</v>
      </c>
      <c r="V10" s="184">
        <f t="shared" si="2"/>
        <v>-96364.12264597003</v>
      </c>
      <c r="W10" s="184">
        <f t="shared" si="2"/>
        <v>163524.11000000002</v>
      </c>
      <c r="X10" s="184">
        <f t="shared" si="2"/>
        <v>286436</v>
      </c>
      <c r="Y10" s="184">
        <f t="shared" si="2"/>
        <v>-122911.88999999998</v>
      </c>
      <c r="Z10" s="184">
        <f t="shared" si="2"/>
        <v>171485.95</v>
      </c>
      <c r="AA10" s="184">
        <f t="shared" si="2"/>
        <v>264074</v>
      </c>
      <c r="AB10" s="184">
        <f t="shared" si="2"/>
        <v>-92588.04999999999</v>
      </c>
      <c r="AC10" s="184">
        <f t="shared" si="2"/>
        <v>817901</v>
      </c>
      <c r="AD10" s="50">
        <f t="shared" si="2"/>
        <v>202960.66999999998</v>
      </c>
      <c r="AE10" s="50">
        <f t="shared" si="2"/>
        <v>290962</v>
      </c>
      <c r="AF10" s="50">
        <f>AF5+AF6</f>
        <v>11332.329999999994</v>
      </c>
      <c r="AG10" s="50">
        <f aca="true" t="shared" si="3" ref="AG10:AL10">SUM(AG5:AG9)</f>
        <v>130990.42857142858</v>
      </c>
      <c r="AH10" s="50">
        <f t="shared" si="3"/>
        <v>-196783.01999999993</v>
      </c>
      <c r="AI10" s="50">
        <f t="shared" si="3"/>
        <v>446840.98</v>
      </c>
      <c r="AJ10" s="50">
        <f t="shared" si="3"/>
        <v>177832.31</v>
      </c>
      <c r="AK10" s="50">
        <f t="shared" si="3"/>
        <v>-17868.51999999993</v>
      </c>
      <c r="AL10" s="50">
        <f t="shared" si="3"/>
        <v>252751</v>
      </c>
      <c r="AM10" s="50">
        <f>AM5+AM6+AM8</f>
        <v>-16032.953887764965</v>
      </c>
      <c r="AN10" s="50">
        <f aca="true" t="shared" si="4" ref="AN10:AW10">SUM(AN5:AN9)</f>
        <v>130278.125</v>
      </c>
      <c r="AO10" s="50">
        <f t="shared" si="4"/>
        <v>8599.298709622186</v>
      </c>
      <c r="AP10" s="50">
        <f t="shared" si="4"/>
        <v>155164.16999999998</v>
      </c>
      <c r="AQ10" s="50">
        <f t="shared" si="4"/>
        <v>162845.47309981377</v>
      </c>
      <c r="AR10" s="50">
        <f t="shared" si="4"/>
        <v>145861.94</v>
      </c>
      <c r="AS10" s="50">
        <f t="shared" si="4"/>
        <v>10000</v>
      </c>
      <c r="AT10" s="50">
        <f t="shared" si="4"/>
        <v>58493.909999999996</v>
      </c>
      <c r="AU10" s="50">
        <f t="shared" si="4"/>
        <v>77368.03000000001</v>
      </c>
      <c r="AV10" s="50">
        <f t="shared" si="4"/>
        <v>172915.04309981377</v>
      </c>
      <c r="AW10" s="50">
        <f t="shared" si="4"/>
        <v>250423</v>
      </c>
      <c r="AX10" s="50">
        <f>AX5+AX8</f>
        <v>28.600000000000364</v>
      </c>
      <c r="AY10" s="50">
        <f aca="true" t="shared" si="5" ref="AY10:BN10">SUM(AY5:AY9)</f>
        <v>114828.33333333334</v>
      </c>
      <c r="AZ10" s="50">
        <f t="shared" si="5"/>
        <v>794136</v>
      </c>
      <c r="BA10" s="50">
        <f t="shared" si="5"/>
        <v>2297.2400000000007</v>
      </c>
      <c r="BB10" s="50">
        <f t="shared" si="5"/>
        <v>104415.22560980842</v>
      </c>
      <c r="BC10" s="50">
        <f t="shared" si="5"/>
        <v>162839.5656098084</v>
      </c>
      <c r="BD10" s="452">
        <f t="shared" si="5"/>
        <v>165136.8056098084</v>
      </c>
      <c r="BE10" s="50">
        <f t="shared" si="5"/>
        <v>7097.390000000014</v>
      </c>
      <c r="BF10" s="50">
        <f t="shared" si="5"/>
        <v>84465.42000000003</v>
      </c>
      <c r="BG10" s="50">
        <f>SUM(BG5:BG9)</f>
        <v>98557.69</v>
      </c>
      <c r="BH10" s="50">
        <f>SUM(BH5:BH9)</f>
        <v>138521.96000000002</v>
      </c>
      <c r="BI10" s="50">
        <f>SUM(BI5:BI9)</f>
        <v>0</v>
      </c>
      <c r="BJ10" s="50">
        <f>SUM(BJ5:BJ9)</f>
        <v>44501.15</v>
      </c>
      <c r="BK10" s="50">
        <f>SUM(BK5:BK9)</f>
        <v>348159.91560980835</v>
      </c>
      <c r="BL10" s="50">
        <f t="shared" si="5"/>
        <v>2689756.915609808</v>
      </c>
      <c r="BM10" s="50">
        <f t="shared" si="5"/>
        <v>2341597</v>
      </c>
      <c r="BN10" s="50">
        <f t="shared" si="5"/>
        <v>2268.6400000000003</v>
      </c>
    </row>
    <row r="11" spans="1:66" s="5" customFormat="1" ht="22.5" customHeight="1">
      <c r="A11" s="4">
        <v>6</v>
      </c>
      <c r="B11" s="62" t="s">
        <v>5</v>
      </c>
      <c r="C11" s="195">
        <v>25500</v>
      </c>
      <c r="D11" s="25">
        <v>2048.173008</v>
      </c>
      <c r="E11" s="40">
        <v>2040</v>
      </c>
      <c r="F11" s="33">
        <f aca="true" t="shared" si="6" ref="F11:F19">D11-E11</f>
        <v>8.173008000000209</v>
      </c>
      <c r="G11" s="33">
        <v>0</v>
      </c>
      <c r="H11" s="25">
        <v>0</v>
      </c>
      <c r="I11" s="24"/>
      <c r="J11" s="250">
        <v>0</v>
      </c>
      <c r="K11" s="47">
        <v>0</v>
      </c>
      <c r="L11" s="33">
        <f aca="true" t="shared" si="7" ref="L11:L19">J11-K11</f>
        <v>0</v>
      </c>
      <c r="M11" s="34">
        <v>0</v>
      </c>
      <c r="N11" s="47">
        <v>0</v>
      </c>
      <c r="O11" s="33">
        <f aca="true" t="shared" si="8" ref="O11:O19">M11-N11</f>
        <v>0</v>
      </c>
      <c r="P11" s="33"/>
      <c r="Q11" s="33"/>
      <c r="R11" s="83">
        <f aca="true" t="shared" si="9" ref="R11:R19">E11+K11+N11</f>
        <v>2040</v>
      </c>
      <c r="S11" s="105">
        <v>0</v>
      </c>
      <c r="T11" s="294">
        <f aca="true" t="shared" si="10" ref="T11:T19">Q11+S11</f>
        <v>0</v>
      </c>
      <c r="U11" s="296"/>
      <c r="V11" s="89">
        <f aca="true" t="shared" si="11" ref="V11:V19">T11-U11</f>
        <v>0</v>
      </c>
      <c r="W11" s="99">
        <v>0</v>
      </c>
      <c r="X11" s="85"/>
      <c r="Y11" s="25">
        <f>W11-X11</f>
        <v>0</v>
      </c>
      <c r="Z11" s="89">
        <f>X11-Y11</f>
        <v>0</v>
      </c>
      <c r="AA11" s="85"/>
      <c r="AB11" s="91">
        <f aca="true" t="shared" si="12" ref="AB11:AB19">Z11-AA11</f>
        <v>0</v>
      </c>
      <c r="AC11" s="83">
        <f aca="true" t="shared" si="13" ref="AC11:AC19">U11+X11+AA11</f>
        <v>0</v>
      </c>
      <c r="AD11" s="232">
        <v>0</v>
      </c>
      <c r="AE11" s="131"/>
      <c r="AF11" s="232">
        <f aca="true" t="shared" si="14" ref="AF11:AF19">AD11-AE11</f>
        <v>0</v>
      </c>
      <c r="AG11" s="232"/>
      <c r="AH11" s="129"/>
      <c r="AI11" s="340">
        <v>0</v>
      </c>
      <c r="AJ11" s="232"/>
      <c r="AK11" s="232"/>
      <c r="AL11" s="131"/>
      <c r="AM11" s="232">
        <f aca="true" t="shared" si="15" ref="AM11:AM19">AK11-AL11</f>
        <v>0</v>
      </c>
      <c r="AN11" s="232"/>
      <c r="AO11" s="232"/>
      <c r="AP11" s="232"/>
      <c r="AQ11" s="385">
        <f aca="true" t="shared" si="16" ref="AQ11:AQ19">AO11+AP11</f>
        <v>0</v>
      </c>
      <c r="AR11" s="340"/>
      <c r="AS11" s="232"/>
      <c r="AT11" s="232"/>
      <c r="AU11" s="232"/>
      <c r="AV11" s="417"/>
      <c r="AW11" s="131"/>
      <c r="AX11" s="232">
        <f aca="true" t="shared" si="17" ref="AX11:AX19">AV11-AW11</f>
        <v>0</v>
      </c>
      <c r="AY11" s="232"/>
      <c r="AZ11" s="204">
        <f aca="true" t="shared" si="18" ref="AZ11:AZ19">AE11+AL11+AW11</f>
        <v>0</v>
      </c>
      <c r="BA11" s="232"/>
      <c r="BB11" s="232"/>
      <c r="BC11" s="417"/>
      <c r="BD11" s="451">
        <f aca="true" t="shared" si="19" ref="BD11:BD19">BA11+BC11</f>
        <v>0</v>
      </c>
      <c r="BE11" s="232"/>
      <c r="BF11" s="417"/>
      <c r="BG11" s="340">
        <v>0</v>
      </c>
      <c r="BH11" s="232"/>
      <c r="BI11" s="232"/>
      <c r="BJ11" s="232"/>
      <c r="BK11" s="361">
        <f t="shared" si="0"/>
        <v>0</v>
      </c>
      <c r="BL11" s="169">
        <f aca="true" t="shared" si="20" ref="BL11:BL19">R11+AC11+AZ11+BK11</f>
        <v>2040</v>
      </c>
      <c r="BM11" s="195">
        <f aca="true" t="shared" si="21" ref="BM11:BM19">R11+AC11+AZ11</f>
        <v>2040</v>
      </c>
      <c r="BN11" s="89">
        <f aca="true" t="shared" si="22" ref="BN11:BN19">BA11-AX11</f>
        <v>0</v>
      </c>
    </row>
    <row r="12" spans="1:66" s="5" customFormat="1" ht="22.5" customHeight="1">
      <c r="A12" s="4">
        <v>7</v>
      </c>
      <c r="B12" s="62" t="s">
        <v>21</v>
      </c>
      <c r="C12" s="195">
        <v>16020</v>
      </c>
      <c r="D12" s="25">
        <v>1261.57704088</v>
      </c>
      <c r="E12" s="40">
        <v>1260</v>
      </c>
      <c r="F12" s="33">
        <f t="shared" si="6"/>
        <v>1.5770408799999132</v>
      </c>
      <c r="G12" s="33">
        <v>0</v>
      </c>
      <c r="H12" s="25">
        <v>1277.16995055</v>
      </c>
      <c r="I12" s="24"/>
      <c r="J12" s="250">
        <v>1277.16995055</v>
      </c>
      <c r="K12" s="47">
        <v>1260</v>
      </c>
      <c r="L12" s="33">
        <f t="shared" si="7"/>
        <v>17.169950550000067</v>
      </c>
      <c r="M12" s="34">
        <v>1277.17</v>
      </c>
      <c r="N12" s="47">
        <v>1260</v>
      </c>
      <c r="O12" s="33">
        <f t="shared" si="8"/>
        <v>17.170000000000073</v>
      </c>
      <c r="P12" s="33"/>
      <c r="Q12" s="33"/>
      <c r="R12" s="83">
        <f t="shared" si="9"/>
        <v>3780</v>
      </c>
      <c r="S12" s="105">
        <v>1380</v>
      </c>
      <c r="T12" s="294">
        <f t="shared" si="10"/>
        <v>1380</v>
      </c>
      <c r="U12" s="296">
        <v>1380</v>
      </c>
      <c r="V12" s="89">
        <f t="shared" si="11"/>
        <v>0</v>
      </c>
      <c r="W12" s="99">
        <v>1315.28</v>
      </c>
      <c r="X12" s="85">
        <v>1260</v>
      </c>
      <c r="Y12" s="25">
        <f aca="true" t="shared" si="23" ref="Y12:Y19">W12-X12</f>
        <v>55.27999999999997</v>
      </c>
      <c r="Z12" s="89">
        <v>1446.05</v>
      </c>
      <c r="AA12" s="85">
        <v>1440</v>
      </c>
      <c r="AB12" s="91">
        <f t="shared" si="12"/>
        <v>6.0499999999999545</v>
      </c>
      <c r="AC12" s="83">
        <f t="shared" si="13"/>
        <v>4080</v>
      </c>
      <c r="AD12" s="232">
        <v>1656.78</v>
      </c>
      <c r="AE12" s="131">
        <v>1620</v>
      </c>
      <c r="AF12" s="232">
        <f t="shared" si="14"/>
        <v>36.77999999999997</v>
      </c>
      <c r="AG12" s="232"/>
      <c r="AH12" s="129"/>
      <c r="AI12" s="340">
        <v>3101.8</v>
      </c>
      <c r="AJ12" s="232">
        <v>1500</v>
      </c>
      <c r="AK12" s="232">
        <f aca="true" t="shared" si="24" ref="AK12:AK19">AH12+AJ12</f>
        <v>1500</v>
      </c>
      <c r="AL12" s="131">
        <v>1500</v>
      </c>
      <c r="AM12" s="232">
        <f t="shared" si="15"/>
        <v>0</v>
      </c>
      <c r="AN12" s="232"/>
      <c r="AO12" s="232"/>
      <c r="AP12" s="232">
        <v>1500</v>
      </c>
      <c r="AQ12" s="385">
        <f t="shared" si="16"/>
        <v>1500</v>
      </c>
      <c r="AR12" s="340">
        <v>1012.52</v>
      </c>
      <c r="AS12" s="232">
        <v>0</v>
      </c>
      <c r="AT12" s="232">
        <f aca="true" t="shared" si="25" ref="AT12:AT19">AR12</f>
        <v>1012.52</v>
      </c>
      <c r="AU12" s="232">
        <v>0</v>
      </c>
      <c r="AV12" s="417">
        <f aca="true" t="shared" si="26" ref="AV12:AV19">AQ12+AS12</f>
        <v>1500</v>
      </c>
      <c r="AW12" s="131">
        <v>1500</v>
      </c>
      <c r="AX12" s="232">
        <f t="shared" si="17"/>
        <v>0</v>
      </c>
      <c r="AY12" s="232"/>
      <c r="AZ12" s="204">
        <f t="shared" si="18"/>
        <v>4620</v>
      </c>
      <c r="BA12" s="232"/>
      <c r="BB12" s="232">
        <v>101.8</v>
      </c>
      <c r="BC12" s="417">
        <f aca="true" t="shared" si="27" ref="BC12:BC19">AT12+BB12</f>
        <v>1114.32</v>
      </c>
      <c r="BD12" s="451">
        <f t="shared" si="19"/>
        <v>1114.32</v>
      </c>
      <c r="BE12" s="232">
        <v>0</v>
      </c>
      <c r="BF12" s="417">
        <f aca="true" t="shared" si="28" ref="BF12:BF19">AU12+BE12</f>
        <v>0</v>
      </c>
      <c r="BG12" s="340">
        <v>684.15</v>
      </c>
      <c r="BH12" s="476">
        <f>BG12</f>
        <v>684.15</v>
      </c>
      <c r="BI12" s="232">
        <v>0</v>
      </c>
      <c r="BJ12" s="232">
        <v>0</v>
      </c>
      <c r="BK12" s="361">
        <f t="shared" si="0"/>
        <v>1798.4699999999998</v>
      </c>
      <c r="BL12" s="169">
        <f t="shared" si="20"/>
        <v>14278.47</v>
      </c>
      <c r="BM12" s="195">
        <f t="shared" si="21"/>
        <v>12480</v>
      </c>
      <c r="BN12" s="89">
        <f t="shared" si="22"/>
        <v>0</v>
      </c>
    </row>
    <row r="13" spans="1:66" s="28" customFormat="1" ht="21" customHeight="1">
      <c r="A13" s="4">
        <v>8</v>
      </c>
      <c r="B13" s="62" t="s">
        <v>22</v>
      </c>
      <c r="C13" s="195">
        <v>6600</v>
      </c>
      <c r="D13" s="25">
        <v>717.34821304</v>
      </c>
      <c r="E13" s="40">
        <v>660</v>
      </c>
      <c r="F13" s="33">
        <f t="shared" si="6"/>
        <v>57.34821304000002</v>
      </c>
      <c r="G13" s="33">
        <v>0</v>
      </c>
      <c r="H13" s="25">
        <v>726.2145331500001</v>
      </c>
      <c r="I13" s="24"/>
      <c r="J13" s="250">
        <v>726.2145331500001</v>
      </c>
      <c r="K13" s="47">
        <v>720</v>
      </c>
      <c r="L13" s="33">
        <f t="shared" si="7"/>
        <v>6.214533150000079</v>
      </c>
      <c r="M13" s="34">
        <v>726.21</v>
      </c>
      <c r="N13" s="47">
        <v>720</v>
      </c>
      <c r="O13" s="33">
        <f t="shared" si="8"/>
        <v>6.210000000000036</v>
      </c>
      <c r="P13" s="33"/>
      <c r="Q13" s="33"/>
      <c r="R13" s="83">
        <f t="shared" si="9"/>
        <v>2100</v>
      </c>
      <c r="S13" s="185">
        <v>780</v>
      </c>
      <c r="T13" s="294">
        <f t="shared" si="10"/>
        <v>780</v>
      </c>
      <c r="U13" s="296">
        <v>600</v>
      </c>
      <c r="V13" s="89">
        <f t="shared" si="11"/>
        <v>180</v>
      </c>
      <c r="W13" s="99">
        <v>752.57</v>
      </c>
      <c r="X13" s="85">
        <v>720</v>
      </c>
      <c r="Y13" s="25">
        <f t="shared" si="23"/>
        <v>32.57000000000005</v>
      </c>
      <c r="Z13" s="89">
        <v>822.24</v>
      </c>
      <c r="AA13" s="109">
        <v>780</v>
      </c>
      <c r="AB13" s="91">
        <f t="shared" si="12"/>
        <v>42.24000000000001</v>
      </c>
      <c r="AC13" s="83">
        <f t="shared" si="13"/>
        <v>2100</v>
      </c>
      <c r="AD13" s="324">
        <v>942.07</v>
      </c>
      <c r="AE13" s="378">
        <v>900</v>
      </c>
      <c r="AF13" s="232">
        <f t="shared" si="14"/>
        <v>42.07000000000005</v>
      </c>
      <c r="AG13" s="232"/>
      <c r="AH13" s="129"/>
      <c r="AI13" s="359">
        <v>1763.72</v>
      </c>
      <c r="AJ13" s="232">
        <v>840</v>
      </c>
      <c r="AK13" s="232">
        <f t="shared" si="24"/>
        <v>840</v>
      </c>
      <c r="AL13" s="131">
        <v>780</v>
      </c>
      <c r="AM13" s="232">
        <f t="shared" si="15"/>
        <v>60</v>
      </c>
      <c r="AN13" s="232"/>
      <c r="AO13" s="232"/>
      <c r="AP13" s="232">
        <v>840</v>
      </c>
      <c r="AQ13" s="385">
        <f t="shared" si="16"/>
        <v>840</v>
      </c>
      <c r="AR13" s="340">
        <v>575.73</v>
      </c>
      <c r="AS13" s="232">
        <v>0</v>
      </c>
      <c r="AT13" s="232">
        <f t="shared" si="25"/>
        <v>575.73</v>
      </c>
      <c r="AU13" s="232">
        <v>0</v>
      </c>
      <c r="AV13" s="417">
        <f t="shared" si="26"/>
        <v>840</v>
      </c>
      <c r="AW13" s="131">
        <v>660</v>
      </c>
      <c r="AX13" s="232">
        <f t="shared" si="17"/>
        <v>180</v>
      </c>
      <c r="AY13" s="232"/>
      <c r="AZ13" s="204">
        <f t="shared" si="18"/>
        <v>2340</v>
      </c>
      <c r="BA13" s="232"/>
      <c r="BB13" s="232">
        <v>83.72</v>
      </c>
      <c r="BC13" s="417">
        <f t="shared" si="27"/>
        <v>659.45</v>
      </c>
      <c r="BD13" s="451">
        <f t="shared" si="19"/>
        <v>659.45</v>
      </c>
      <c r="BE13" s="232">
        <v>0</v>
      </c>
      <c r="BF13" s="417">
        <f t="shared" si="28"/>
        <v>0</v>
      </c>
      <c r="BG13" s="340">
        <v>389.02</v>
      </c>
      <c r="BH13" s="476">
        <f aca="true" t="shared" si="29" ref="BH13:BH19">BG13</f>
        <v>389.02</v>
      </c>
      <c r="BI13" s="232">
        <v>0</v>
      </c>
      <c r="BJ13" s="232">
        <v>0</v>
      </c>
      <c r="BK13" s="361">
        <f t="shared" si="0"/>
        <v>1048.47</v>
      </c>
      <c r="BL13" s="169">
        <f t="shared" si="20"/>
        <v>7588.47</v>
      </c>
      <c r="BM13" s="195">
        <f t="shared" si="21"/>
        <v>6540</v>
      </c>
      <c r="BN13" s="89">
        <f t="shared" si="22"/>
        <v>-180</v>
      </c>
    </row>
    <row r="14" spans="1:66" s="28" customFormat="1" ht="22.5" customHeight="1">
      <c r="A14" s="4">
        <v>9</v>
      </c>
      <c r="B14" s="62" t="s">
        <v>17</v>
      </c>
      <c r="C14" s="195">
        <v>11160</v>
      </c>
      <c r="D14" s="25">
        <v>889.9799380000001</v>
      </c>
      <c r="E14" s="40">
        <v>840</v>
      </c>
      <c r="F14" s="33">
        <f t="shared" si="6"/>
        <v>49.97993800000006</v>
      </c>
      <c r="G14" s="33">
        <v>0</v>
      </c>
      <c r="H14" s="25">
        <v>900.9799612500001</v>
      </c>
      <c r="I14" s="24"/>
      <c r="J14" s="250">
        <v>900.9799612500001</v>
      </c>
      <c r="K14" s="47">
        <v>900</v>
      </c>
      <c r="L14" s="33">
        <f t="shared" si="7"/>
        <v>0.9799612500000876</v>
      </c>
      <c r="M14" s="34">
        <v>900.98</v>
      </c>
      <c r="N14" s="47">
        <v>900</v>
      </c>
      <c r="O14" s="33">
        <f t="shared" si="8"/>
        <v>0.9800000000000182</v>
      </c>
      <c r="P14" s="33"/>
      <c r="Q14" s="33"/>
      <c r="R14" s="83">
        <f t="shared" si="9"/>
        <v>2640</v>
      </c>
      <c r="S14" s="185">
        <v>960</v>
      </c>
      <c r="T14" s="294">
        <f t="shared" si="10"/>
        <v>960</v>
      </c>
      <c r="U14" s="296">
        <v>960</v>
      </c>
      <c r="V14" s="89">
        <f t="shared" si="11"/>
        <v>0</v>
      </c>
      <c r="W14" s="99">
        <v>941.39</v>
      </c>
      <c r="X14" s="85">
        <v>900</v>
      </c>
      <c r="Y14" s="25">
        <f t="shared" si="23"/>
        <v>41.389999999999986</v>
      </c>
      <c r="Z14" s="89">
        <v>1020.11</v>
      </c>
      <c r="AA14" s="109">
        <v>1020</v>
      </c>
      <c r="AB14" s="91">
        <f t="shared" si="12"/>
        <v>0.11000000000001364</v>
      </c>
      <c r="AC14" s="83">
        <f t="shared" si="13"/>
        <v>2880</v>
      </c>
      <c r="AD14" s="324">
        <v>1168.78</v>
      </c>
      <c r="AE14" s="378">
        <v>1140</v>
      </c>
      <c r="AF14" s="232">
        <f t="shared" si="14"/>
        <v>28.779999999999973</v>
      </c>
      <c r="AG14" s="232"/>
      <c r="AH14" s="129"/>
      <c r="AI14" s="359">
        <v>2188.16</v>
      </c>
      <c r="AJ14" s="232">
        <v>960</v>
      </c>
      <c r="AK14" s="232">
        <f t="shared" si="24"/>
        <v>960</v>
      </c>
      <c r="AL14" s="131">
        <v>960</v>
      </c>
      <c r="AM14" s="232">
        <f t="shared" si="15"/>
        <v>0</v>
      </c>
      <c r="AN14" s="232"/>
      <c r="AO14" s="232"/>
      <c r="AP14" s="232">
        <v>960</v>
      </c>
      <c r="AQ14" s="385">
        <f t="shared" si="16"/>
        <v>960</v>
      </c>
      <c r="AR14" s="340">
        <v>714.28</v>
      </c>
      <c r="AS14" s="232">
        <v>0</v>
      </c>
      <c r="AT14" s="232">
        <f t="shared" si="25"/>
        <v>714.28</v>
      </c>
      <c r="AU14" s="232">
        <v>0</v>
      </c>
      <c r="AV14" s="417">
        <f t="shared" si="26"/>
        <v>960</v>
      </c>
      <c r="AW14" s="131">
        <v>960</v>
      </c>
      <c r="AX14" s="232">
        <f t="shared" si="17"/>
        <v>0</v>
      </c>
      <c r="AY14" s="232"/>
      <c r="AZ14" s="204">
        <f t="shared" si="18"/>
        <v>3060</v>
      </c>
      <c r="BA14" s="232"/>
      <c r="BB14" s="232">
        <v>268.16</v>
      </c>
      <c r="BC14" s="417">
        <f t="shared" si="27"/>
        <v>982.44</v>
      </c>
      <c r="BD14" s="451">
        <f t="shared" si="19"/>
        <v>982.44</v>
      </c>
      <c r="BE14" s="232">
        <v>0</v>
      </c>
      <c r="BF14" s="417">
        <f t="shared" si="28"/>
        <v>0</v>
      </c>
      <c r="BG14" s="340">
        <v>482.63</v>
      </c>
      <c r="BH14" s="476">
        <f t="shared" si="29"/>
        <v>482.63</v>
      </c>
      <c r="BI14" s="232">
        <v>0</v>
      </c>
      <c r="BJ14" s="232">
        <v>0</v>
      </c>
      <c r="BK14" s="361">
        <f t="shared" si="0"/>
        <v>1465.0700000000002</v>
      </c>
      <c r="BL14" s="169">
        <f t="shared" si="20"/>
        <v>10045.07</v>
      </c>
      <c r="BM14" s="195">
        <f t="shared" si="21"/>
        <v>8580</v>
      </c>
      <c r="BN14" s="89">
        <f t="shared" si="22"/>
        <v>0</v>
      </c>
    </row>
    <row r="15" spans="1:66" s="28" customFormat="1" ht="22.5" customHeight="1">
      <c r="A15" s="4">
        <v>10</v>
      </c>
      <c r="B15" s="62" t="s">
        <v>20</v>
      </c>
      <c r="C15" s="195">
        <v>7260</v>
      </c>
      <c r="D15" s="25">
        <v>724.1754564</v>
      </c>
      <c r="E15" s="40">
        <v>720</v>
      </c>
      <c r="F15" s="33">
        <f t="shared" si="6"/>
        <v>4.17545640000003</v>
      </c>
      <c r="G15" s="33">
        <v>0</v>
      </c>
      <c r="H15" s="25">
        <v>733.12616025</v>
      </c>
      <c r="I15" s="24"/>
      <c r="J15" s="250">
        <v>733.12616025</v>
      </c>
      <c r="K15" s="47">
        <v>720</v>
      </c>
      <c r="L15" s="33">
        <f t="shared" si="7"/>
        <v>13.126160249999998</v>
      </c>
      <c r="M15" s="34">
        <v>733.13</v>
      </c>
      <c r="N15" s="47">
        <v>720</v>
      </c>
      <c r="O15" s="33">
        <f t="shared" si="8"/>
        <v>13.129999999999995</v>
      </c>
      <c r="P15" s="33"/>
      <c r="Q15" s="33"/>
      <c r="R15" s="83">
        <f t="shared" si="9"/>
        <v>2160</v>
      </c>
      <c r="S15" s="185">
        <v>780</v>
      </c>
      <c r="T15" s="294">
        <f t="shared" si="10"/>
        <v>780</v>
      </c>
      <c r="U15" s="296">
        <v>660</v>
      </c>
      <c r="V15" s="89">
        <f t="shared" si="11"/>
        <v>120</v>
      </c>
      <c r="W15" s="99">
        <v>767.16</v>
      </c>
      <c r="X15" s="85">
        <v>720</v>
      </c>
      <c r="Y15" s="25">
        <f t="shared" si="23"/>
        <v>47.15999999999997</v>
      </c>
      <c r="Z15" s="89">
        <v>830.07</v>
      </c>
      <c r="AA15" s="109">
        <v>780</v>
      </c>
      <c r="AB15" s="91">
        <f t="shared" si="12"/>
        <v>50.07000000000005</v>
      </c>
      <c r="AC15" s="83">
        <f t="shared" si="13"/>
        <v>2160</v>
      </c>
      <c r="AD15" s="324">
        <v>951.03</v>
      </c>
      <c r="AE15" s="378">
        <v>900</v>
      </c>
      <c r="AF15" s="232">
        <f t="shared" si="14"/>
        <v>51.02999999999997</v>
      </c>
      <c r="AG15" s="232"/>
      <c r="AH15" s="129"/>
      <c r="AI15" s="359">
        <v>1780.51</v>
      </c>
      <c r="AJ15" s="232">
        <v>840</v>
      </c>
      <c r="AK15" s="232">
        <f t="shared" si="24"/>
        <v>840</v>
      </c>
      <c r="AL15" s="131">
        <v>840</v>
      </c>
      <c r="AM15" s="232">
        <f t="shared" si="15"/>
        <v>0</v>
      </c>
      <c r="AN15" s="232"/>
      <c r="AO15" s="232"/>
      <c r="AP15" s="232">
        <v>840</v>
      </c>
      <c r="AQ15" s="385">
        <f t="shared" si="16"/>
        <v>840</v>
      </c>
      <c r="AR15" s="340">
        <v>581.21</v>
      </c>
      <c r="AS15" s="232">
        <v>0</v>
      </c>
      <c r="AT15" s="232">
        <f t="shared" si="25"/>
        <v>581.21</v>
      </c>
      <c r="AU15" s="232">
        <v>0</v>
      </c>
      <c r="AV15" s="417">
        <f t="shared" si="26"/>
        <v>840</v>
      </c>
      <c r="AW15" s="131">
        <v>600</v>
      </c>
      <c r="AX15" s="232">
        <f t="shared" si="17"/>
        <v>240</v>
      </c>
      <c r="AY15" s="232"/>
      <c r="AZ15" s="204">
        <f t="shared" si="18"/>
        <v>2340</v>
      </c>
      <c r="BA15" s="232"/>
      <c r="BB15" s="232">
        <v>100.51</v>
      </c>
      <c r="BC15" s="417">
        <f t="shared" si="27"/>
        <v>681.72</v>
      </c>
      <c r="BD15" s="451">
        <f t="shared" si="19"/>
        <v>681.72</v>
      </c>
      <c r="BE15" s="232">
        <v>0</v>
      </c>
      <c r="BF15" s="417">
        <f t="shared" si="28"/>
        <v>0</v>
      </c>
      <c r="BG15" s="340">
        <v>392.72</v>
      </c>
      <c r="BH15" s="476">
        <f t="shared" si="29"/>
        <v>392.72</v>
      </c>
      <c r="BI15" s="232">
        <v>0</v>
      </c>
      <c r="BJ15" s="232">
        <v>0</v>
      </c>
      <c r="BK15" s="361">
        <f t="shared" si="0"/>
        <v>1074.44</v>
      </c>
      <c r="BL15" s="169">
        <f t="shared" si="20"/>
        <v>7734.4400000000005</v>
      </c>
      <c r="BM15" s="195">
        <f t="shared" si="21"/>
        <v>6660</v>
      </c>
      <c r="BN15" s="89">
        <f t="shared" si="22"/>
        <v>-240</v>
      </c>
    </row>
    <row r="16" spans="1:66" s="5" customFormat="1" ht="23.25" customHeight="1">
      <c r="A16" s="4">
        <v>11</v>
      </c>
      <c r="B16" s="62" t="s">
        <v>23</v>
      </c>
      <c r="C16" s="195">
        <v>28635</v>
      </c>
      <c r="D16" s="25">
        <v>2633.365296</v>
      </c>
      <c r="E16" s="40">
        <v>2610</v>
      </c>
      <c r="F16" s="33">
        <f t="shared" si="6"/>
        <v>23.365295999999944</v>
      </c>
      <c r="G16" s="33">
        <v>0</v>
      </c>
      <c r="H16" s="25">
        <v>2665.9133100000004</v>
      </c>
      <c r="I16" s="25"/>
      <c r="J16" s="250">
        <v>2665.9133100000004</v>
      </c>
      <c r="K16" s="80">
        <v>2640</v>
      </c>
      <c r="L16" s="33">
        <f t="shared" si="7"/>
        <v>25.913310000000365</v>
      </c>
      <c r="M16" s="34">
        <v>2665.91</v>
      </c>
      <c r="N16" s="47">
        <v>2655</v>
      </c>
      <c r="O16" s="33">
        <f t="shared" si="8"/>
        <v>10.909999999999854</v>
      </c>
      <c r="P16" s="33"/>
      <c r="Q16" s="33"/>
      <c r="R16" s="83">
        <f t="shared" si="9"/>
        <v>7905</v>
      </c>
      <c r="S16" s="105">
        <v>2850</v>
      </c>
      <c r="T16" s="294">
        <f t="shared" si="10"/>
        <v>2850</v>
      </c>
      <c r="U16" s="296">
        <v>2655</v>
      </c>
      <c r="V16" s="89">
        <f t="shared" si="11"/>
        <v>195</v>
      </c>
      <c r="W16" s="99">
        <v>2776.02</v>
      </c>
      <c r="X16" s="85">
        <v>2775</v>
      </c>
      <c r="Y16" s="25">
        <f t="shared" si="23"/>
        <v>1.0199999999999818</v>
      </c>
      <c r="Z16" s="89">
        <v>3018.42</v>
      </c>
      <c r="AA16" s="85">
        <v>3015</v>
      </c>
      <c r="AB16" s="91">
        <f t="shared" si="12"/>
        <v>3.4200000000000728</v>
      </c>
      <c r="AC16" s="83">
        <f t="shared" si="13"/>
        <v>8445</v>
      </c>
      <c r="AD16" s="232">
        <v>3458.3</v>
      </c>
      <c r="AE16" s="131">
        <v>1485</v>
      </c>
      <c r="AF16" s="232">
        <f t="shared" si="14"/>
        <v>1973.3000000000002</v>
      </c>
      <c r="AG16" s="232"/>
      <c r="AH16" s="129">
        <f>AF16</f>
        <v>1973.3000000000002</v>
      </c>
      <c r="AI16" s="340">
        <v>6474.56</v>
      </c>
      <c r="AJ16" s="232">
        <v>1800</v>
      </c>
      <c r="AK16" s="232">
        <f t="shared" si="24"/>
        <v>3773.3</v>
      </c>
      <c r="AL16" s="131">
        <v>3690</v>
      </c>
      <c r="AM16" s="232">
        <f t="shared" si="15"/>
        <v>83.30000000000018</v>
      </c>
      <c r="AN16" s="232"/>
      <c r="AO16" s="232"/>
      <c r="AP16" s="232">
        <v>3000</v>
      </c>
      <c r="AQ16" s="385">
        <f t="shared" si="16"/>
        <v>3000</v>
      </c>
      <c r="AR16" s="340">
        <v>2113.49</v>
      </c>
      <c r="AS16" s="232">
        <v>0</v>
      </c>
      <c r="AT16" s="232">
        <f t="shared" si="25"/>
        <v>2113.49</v>
      </c>
      <c r="AU16" s="232">
        <v>0</v>
      </c>
      <c r="AV16" s="417">
        <f t="shared" si="26"/>
        <v>3000</v>
      </c>
      <c r="AW16" s="131">
        <v>3000</v>
      </c>
      <c r="AX16" s="232">
        <f t="shared" si="17"/>
        <v>0</v>
      </c>
      <c r="AY16" s="232"/>
      <c r="AZ16" s="204">
        <f t="shared" si="18"/>
        <v>8175</v>
      </c>
      <c r="BA16" s="232"/>
      <c r="BB16" s="232">
        <f>AI16-AJ16-AP16</f>
        <v>1674.5600000000004</v>
      </c>
      <c r="BC16" s="417">
        <f t="shared" si="27"/>
        <v>3788.05</v>
      </c>
      <c r="BD16" s="451">
        <f t="shared" si="19"/>
        <v>3788.05</v>
      </c>
      <c r="BE16" s="232">
        <v>0</v>
      </c>
      <c r="BF16" s="417">
        <f t="shared" si="28"/>
        <v>0</v>
      </c>
      <c r="BG16" s="340">
        <v>1428.07</v>
      </c>
      <c r="BH16" s="476">
        <f t="shared" si="29"/>
        <v>1428.07</v>
      </c>
      <c r="BI16" s="232">
        <v>0</v>
      </c>
      <c r="BJ16" s="232">
        <v>0</v>
      </c>
      <c r="BK16" s="361">
        <f t="shared" si="0"/>
        <v>5216.12</v>
      </c>
      <c r="BL16" s="169">
        <f t="shared" si="20"/>
        <v>29741.12</v>
      </c>
      <c r="BM16" s="195">
        <f t="shared" si="21"/>
        <v>24525</v>
      </c>
      <c r="BN16" s="89">
        <f t="shared" si="22"/>
        <v>0</v>
      </c>
    </row>
    <row r="17" spans="1:66" s="28" customFormat="1" ht="22.5" customHeight="1">
      <c r="A17" s="4">
        <v>12</v>
      </c>
      <c r="B17" s="62" t="s">
        <v>14</v>
      </c>
      <c r="C17" s="195">
        <v>15140</v>
      </c>
      <c r="D17" s="25">
        <v>2292.0031280000003</v>
      </c>
      <c r="E17" s="40">
        <v>1440</v>
      </c>
      <c r="F17" s="33">
        <f t="shared" si="6"/>
        <v>852.0031280000003</v>
      </c>
      <c r="G17" s="33">
        <v>0</v>
      </c>
      <c r="H17" s="25">
        <v>2320.331955</v>
      </c>
      <c r="I17" s="24"/>
      <c r="J17" s="250">
        <v>2320.331955</v>
      </c>
      <c r="K17" s="47">
        <v>2320</v>
      </c>
      <c r="L17" s="33">
        <f t="shared" si="7"/>
        <v>0.33195500000010725</v>
      </c>
      <c r="M17" s="34">
        <v>2320.33</v>
      </c>
      <c r="N17" s="47">
        <v>2300</v>
      </c>
      <c r="O17" s="33">
        <f t="shared" si="8"/>
        <v>20.329999999999927</v>
      </c>
      <c r="P17" s="33"/>
      <c r="Q17" s="33"/>
      <c r="R17" s="83">
        <f t="shared" si="9"/>
        <v>6060</v>
      </c>
      <c r="S17" s="185">
        <v>2500</v>
      </c>
      <c r="T17" s="294">
        <f t="shared" si="10"/>
        <v>2500</v>
      </c>
      <c r="U17" s="296">
        <v>2500</v>
      </c>
      <c r="V17" s="89">
        <f t="shared" si="11"/>
        <v>0</v>
      </c>
      <c r="W17" s="99">
        <v>2396.72</v>
      </c>
      <c r="X17" s="85">
        <v>2360</v>
      </c>
      <c r="Y17" s="25">
        <f t="shared" si="23"/>
        <v>36.7199999999998</v>
      </c>
      <c r="Z17" s="89">
        <v>2627.15</v>
      </c>
      <c r="AA17" s="109">
        <v>2590</v>
      </c>
      <c r="AB17" s="91">
        <f t="shared" si="12"/>
        <v>37.15000000000009</v>
      </c>
      <c r="AC17" s="83">
        <f t="shared" si="13"/>
        <v>7450</v>
      </c>
      <c r="AD17" s="324">
        <v>3010</v>
      </c>
      <c r="AE17" s="378">
        <v>2880</v>
      </c>
      <c r="AF17" s="232">
        <f t="shared" si="14"/>
        <v>130</v>
      </c>
      <c r="AG17" s="232"/>
      <c r="AH17" s="129"/>
      <c r="AI17" s="359">
        <v>5635.27</v>
      </c>
      <c r="AJ17" s="232">
        <v>2500</v>
      </c>
      <c r="AK17" s="232">
        <f t="shared" si="24"/>
        <v>2500</v>
      </c>
      <c r="AL17" s="131">
        <v>2440</v>
      </c>
      <c r="AM17" s="232">
        <f t="shared" si="15"/>
        <v>60</v>
      </c>
      <c r="AN17" s="232"/>
      <c r="AO17" s="232"/>
      <c r="AP17" s="232">
        <v>2500</v>
      </c>
      <c r="AQ17" s="385">
        <f t="shared" si="16"/>
        <v>2500</v>
      </c>
      <c r="AR17" s="340">
        <v>1839.52</v>
      </c>
      <c r="AS17" s="232">
        <v>0</v>
      </c>
      <c r="AT17" s="232">
        <f t="shared" si="25"/>
        <v>1839.52</v>
      </c>
      <c r="AU17" s="232">
        <v>0</v>
      </c>
      <c r="AV17" s="417">
        <f t="shared" si="26"/>
        <v>2500</v>
      </c>
      <c r="AW17" s="131">
        <v>1440</v>
      </c>
      <c r="AX17" s="232">
        <f t="shared" si="17"/>
        <v>1060</v>
      </c>
      <c r="AY17" s="232"/>
      <c r="AZ17" s="204">
        <f t="shared" si="18"/>
        <v>6760</v>
      </c>
      <c r="BA17" s="232"/>
      <c r="BB17" s="232">
        <v>635.27</v>
      </c>
      <c r="BC17" s="417">
        <f t="shared" si="27"/>
        <v>2474.79</v>
      </c>
      <c r="BD17" s="451">
        <f t="shared" si="19"/>
        <v>2474.79</v>
      </c>
      <c r="BE17" s="232">
        <v>0</v>
      </c>
      <c r="BF17" s="417">
        <f t="shared" si="28"/>
        <v>0</v>
      </c>
      <c r="BG17" s="340">
        <v>1242.95</v>
      </c>
      <c r="BH17" s="476">
        <f t="shared" si="29"/>
        <v>1242.95</v>
      </c>
      <c r="BI17" s="232">
        <v>0</v>
      </c>
      <c r="BJ17" s="232">
        <v>0</v>
      </c>
      <c r="BK17" s="361">
        <f t="shared" si="0"/>
        <v>3717.74</v>
      </c>
      <c r="BL17" s="169">
        <f t="shared" si="20"/>
        <v>23987.739999999998</v>
      </c>
      <c r="BM17" s="195">
        <f t="shared" si="21"/>
        <v>20270</v>
      </c>
      <c r="BN17" s="89">
        <f t="shared" si="22"/>
        <v>-1060</v>
      </c>
    </row>
    <row r="18" spans="1:66" s="5" customFormat="1" ht="22.5" customHeight="1">
      <c r="A18" s="4">
        <v>13</v>
      </c>
      <c r="B18" s="62" t="s">
        <v>24</v>
      </c>
      <c r="C18" s="195">
        <v>7740</v>
      </c>
      <c r="D18" s="25">
        <v>1414.214696</v>
      </c>
      <c r="E18" s="40">
        <v>720</v>
      </c>
      <c r="F18" s="33">
        <f t="shared" si="6"/>
        <v>694.214696</v>
      </c>
      <c r="G18" s="33">
        <v>0</v>
      </c>
      <c r="H18" s="25">
        <v>1431.694185</v>
      </c>
      <c r="I18" s="24"/>
      <c r="J18" s="250">
        <v>1431.694185</v>
      </c>
      <c r="K18" s="47">
        <v>390</v>
      </c>
      <c r="L18" s="33">
        <f t="shared" si="7"/>
        <v>1041.694185</v>
      </c>
      <c r="M18" s="34">
        <v>1431.69</v>
      </c>
      <c r="N18" s="47">
        <v>660</v>
      </c>
      <c r="O18" s="33">
        <f t="shared" si="8"/>
        <v>771.69</v>
      </c>
      <c r="P18" s="33"/>
      <c r="Q18" s="33"/>
      <c r="R18" s="83">
        <f t="shared" si="9"/>
        <v>1770</v>
      </c>
      <c r="S18" s="105">
        <v>1600</v>
      </c>
      <c r="T18" s="294">
        <f t="shared" si="10"/>
        <v>1600</v>
      </c>
      <c r="U18" s="296">
        <v>660</v>
      </c>
      <c r="V18" s="89">
        <f t="shared" si="11"/>
        <v>940</v>
      </c>
      <c r="W18" s="99">
        <v>1421.38</v>
      </c>
      <c r="X18" s="85">
        <v>480</v>
      </c>
      <c r="Y18" s="25">
        <f t="shared" si="23"/>
        <v>941.3800000000001</v>
      </c>
      <c r="Z18" s="89">
        <v>1621</v>
      </c>
      <c r="AA18" s="85">
        <v>600</v>
      </c>
      <c r="AB18" s="91">
        <f t="shared" si="12"/>
        <v>1021</v>
      </c>
      <c r="AC18" s="83">
        <f t="shared" si="13"/>
        <v>1740</v>
      </c>
      <c r="AD18" s="232">
        <v>1857.24</v>
      </c>
      <c r="AE18" s="131">
        <v>270</v>
      </c>
      <c r="AF18" s="232">
        <f t="shared" si="14"/>
        <v>1587.24</v>
      </c>
      <c r="AG18" s="232"/>
      <c r="AH18" s="129"/>
      <c r="AI18" s="340">
        <v>3477.08</v>
      </c>
      <c r="AJ18" s="232">
        <v>1200</v>
      </c>
      <c r="AK18" s="232">
        <f t="shared" si="24"/>
        <v>1200</v>
      </c>
      <c r="AL18" s="131">
        <v>390</v>
      </c>
      <c r="AM18" s="232">
        <f t="shared" si="15"/>
        <v>810</v>
      </c>
      <c r="AN18" s="232"/>
      <c r="AO18" s="232"/>
      <c r="AP18" s="232">
        <v>1200</v>
      </c>
      <c r="AQ18" s="385">
        <f t="shared" si="16"/>
        <v>1200</v>
      </c>
      <c r="AR18" s="340">
        <v>1135</v>
      </c>
      <c r="AS18" s="232">
        <v>0</v>
      </c>
      <c r="AT18" s="232">
        <f t="shared" si="25"/>
        <v>1135</v>
      </c>
      <c r="AU18" s="232">
        <v>0</v>
      </c>
      <c r="AV18" s="417">
        <f t="shared" si="26"/>
        <v>1200</v>
      </c>
      <c r="AW18" s="131">
        <v>420</v>
      </c>
      <c r="AX18" s="232">
        <f t="shared" si="17"/>
        <v>780</v>
      </c>
      <c r="AY18" s="232"/>
      <c r="AZ18" s="204">
        <f t="shared" si="18"/>
        <v>1080</v>
      </c>
      <c r="BA18" s="232"/>
      <c r="BB18" s="232">
        <v>1077.08</v>
      </c>
      <c r="BC18" s="417">
        <f t="shared" si="27"/>
        <v>2212.08</v>
      </c>
      <c r="BD18" s="451">
        <f t="shared" si="19"/>
        <v>2212.08</v>
      </c>
      <c r="BE18" s="232">
        <v>0</v>
      </c>
      <c r="BF18" s="417">
        <f t="shared" si="28"/>
        <v>0</v>
      </c>
      <c r="BG18" s="340">
        <v>766.9</v>
      </c>
      <c r="BH18" s="476">
        <f t="shared" si="29"/>
        <v>766.9</v>
      </c>
      <c r="BI18" s="232">
        <v>0</v>
      </c>
      <c r="BJ18" s="232">
        <v>0</v>
      </c>
      <c r="BK18" s="361">
        <f t="shared" si="0"/>
        <v>2978.98</v>
      </c>
      <c r="BL18" s="169">
        <f t="shared" si="20"/>
        <v>7568.98</v>
      </c>
      <c r="BM18" s="195">
        <f t="shared" si="21"/>
        <v>4590</v>
      </c>
      <c r="BN18" s="89">
        <f t="shared" si="22"/>
        <v>-780</v>
      </c>
    </row>
    <row r="19" spans="1:66" s="5" customFormat="1" ht="22.5" customHeight="1" thickBot="1">
      <c r="A19" s="68">
        <v>14</v>
      </c>
      <c r="B19" s="62" t="s">
        <v>25</v>
      </c>
      <c r="C19" s="195">
        <v>39055</v>
      </c>
      <c r="D19" s="31">
        <v>11096.221100960001</v>
      </c>
      <c r="E19" s="41">
        <v>5480</v>
      </c>
      <c r="F19" s="33">
        <f t="shared" si="6"/>
        <v>5616.221100960001</v>
      </c>
      <c r="G19" s="69">
        <v>0</v>
      </c>
      <c r="H19" s="31">
        <v>11233.368788100002</v>
      </c>
      <c r="I19" s="60"/>
      <c r="J19" s="250">
        <v>11233.368788100002</v>
      </c>
      <c r="K19" s="48">
        <v>11005</v>
      </c>
      <c r="L19" s="33">
        <f t="shared" si="7"/>
        <v>228.36878810000235</v>
      </c>
      <c r="M19" s="35">
        <v>11233.38</v>
      </c>
      <c r="N19" s="47">
        <v>10820</v>
      </c>
      <c r="O19" s="33">
        <f t="shared" si="8"/>
        <v>413.3799999999992</v>
      </c>
      <c r="P19" s="33"/>
      <c r="Q19" s="33"/>
      <c r="R19" s="83">
        <f t="shared" si="9"/>
        <v>27305</v>
      </c>
      <c r="S19" s="105">
        <v>12000</v>
      </c>
      <c r="T19" s="294">
        <f t="shared" si="10"/>
        <v>12000</v>
      </c>
      <c r="U19" s="296">
        <v>7850</v>
      </c>
      <c r="V19" s="89">
        <f t="shared" si="11"/>
        <v>4150</v>
      </c>
      <c r="W19" s="99">
        <v>11706.36</v>
      </c>
      <c r="X19" s="85">
        <v>8530</v>
      </c>
      <c r="Y19" s="25">
        <f t="shared" si="23"/>
        <v>3176.3600000000006</v>
      </c>
      <c r="Z19" s="89">
        <v>5378.95</v>
      </c>
      <c r="AA19" s="85">
        <v>5365</v>
      </c>
      <c r="AB19" s="91">
        <f t="shared" si="12"/>
        <v>13.949999999999818</v>
      </c>
      <c r="AC19" s="83">
        <f t="shared" si="13"/>
        <v>21745</v>
      </c>
      <c r="AD19" s="232">
        <v>6162.82</v>
      </c>
      <c r="AE19" s="131">
        <v>6160</v>
      </c>
      <c r="AF19" s="232">
        <f t="shared" si="14"/>
        <v>2.819999999999709</v>
      </c>
      <c r="AG19" s="232"/>
      <c r="AH19" s="129"/>
      <c r="AI19" s="340">
        <v>11537.92</v>
      </c>
      <c r="AJ19" s="232">
        <v>5600</v>
      </c>
      <c r="AK19" s="232">
        <f t="shared" si="24"/>
        <v>5600</v>
      </c>
      <c r="AL19" s="131">
        <v>5555</v>
      </c>
      <c r="AM19" s="232">
        <f t="shared" si="15"/>
        <v>45</v>
      </c>
      <c r="AN19" s="232"/>
      <c r="AO19" s="232"/>
      <c r="AP19" s="232">
        <v>5673.64</v>
      </c>
      <c r="AQ19" s="385">
        <f t="shared" si="16"/>
        <v>5673.64</v>
      </c>
      <c r="AR19" s="340">
        <v>3766.31</v>
      </c>
      <c r="AS19" s="232">
        <v>0</v>
      </c>
      <c r="AT19" s="232">
        <f t="shared" si="25"/>
        <v>3766.31</v>
      </c>
      <c r="AU19" s="232">
        <v>0</v>
      </c>
      <c r="AV19" s="417">
        <f t="shared" si="26"/>
        <v>5673.64</v>
      </c>
      <c r="AW19" s="131">
        <v>5665</v>
      </c>
      <c r="AX19" s="232">
        <f t="shared" si="17"/>
        <v>8.640000000000327</v>
      </c>
      <c r="AY19" s="232"/>
      <c r="AZ19" s="204">
        <f t="shared" si="18"/>
        <v>17380</v>
      </c>
      <c r="BA19" s="232"/>
      <c r="BB19" s="232">
        <v>264.27</v>
      </c>
      <c r="BC19" s="417">
        <f t="shared" si="27"/>
        <v>4030.58</v>
      </c>
      <c r="BD19" s="451">
        <f t="shared" si="19"/>
        <v>4030.58</v>
      </c>
      <c r="BE19" s="232">
        <v>0</v>
      </c>
      <c r="BF19" s="417">
        <f t="shared" si="28"/>
        <v>0</v>
      </c>
      <c r="BG19" s="340">
        <v>2544.87</v>
      </c>
      <c r="BH19" s="476">
        <f t="shared" si="29"/>
        <v>2544.87</v>
      </c>
      <c r="BI19" s="232">
        <v>0</v>
      </c>
      <c r="BJ19" s="232">
        <v>0</v>
      </c>
      <c r="BK19" s="361">
        <f t="shared" si="0"/>
        <v>6575.45</v>
      </c>
      <c r="BL19" s="169">
        <f t="shared" si="20"/>
        <v>73005.45</v>
      </c>
      <c r="BM19" s="195">
        <f t="shared" si="21"/>
        <v>66430</v>
      </c>
      <c r="BN19" s="89">
        <f t="shared" si="22"/>
        <v>-8.640000000000327</v>
      </c>
    </row>
    <row r="20" spans="1:66" s="10" customFormat="1" ht="23.25" customHeight="1">
      <c r="A20" s="70"/>
      <c r="B20" s="160" t="s">
        <v>12</v>
      </c>
      <c r="C20" s="51">
        <f aca="true" t="shared" si="30" ref="C20:AH20">SUM(C11:C19)</f>
        <v>157110</v>
      </c>
      <c r="D20" s="51">
        <f t="shared" si="30"/>
        <v>23077.05787728</v>
      </c>
      <c r="E20" s="51">
        <f t="shared" si="30"/>
        <v>15770</v>
      </c>
      <c r="F20" s="51">
        <f t="shared" si="30"/>
        <v>7307.057877280002</v>
      </c>
      <c r="G20" s="51">
        <f t="shared" si="30"/>
        <v>0</v>
      </c>
      <c r="H20" s="51">
        <f t="shared" si="30"/>
        <v>21288.798843300003</v>
      </c>
      <c r="I20" s="51">
        <f t="shared" si="30"/>
        <v>0</v>
      </c>
      <c r="J20" s="51">
        <f t="shared" si="30"/>
        <v>21288.798843300003</v>
      </c>
      <c r="K20" s="51">
        <f t="shared" si="30"/>
        <v>19955</v>
      </c>
      <c r="L20" s="51">
        <f t="shared" si="30"/>
        <v>1333.7988433000032</v>
      </c>
      <c r="M20" s="51">
        <f t="shared" si="30"/>
        <v>21288.8</v>
      </c>
      <c r="N20" s="182">
        <f t="shared" si="30"/>
        <v>20035</v>
      </c>
      <c r="O20" s="182">
        <f t="shared" si="30"/>
        <v>1253.7999999999993</v>
      </c>
      <c r="P20" s="182">
        <f t="shared" si="30"/>
        <v>0</v>
      </c>
      <c r="Q20" s="182">
        <f t="shared" si="30"/>
        <v>0</v>
      </c>
      <c r="R20" s="255">
        <f t="shared" si="30"/>
        <v>55760</v>
      </c>
      <c r="S20" s="51">
        <f t="shared" si="30"/>
        <v>22850</v>
      </c>
      <c r="T20" s="51">
        <f t="shared" si="30"/>
        <v>22850</v>
      </c>
      <c r="U20" s="51">
        <f t="shared" si="30"/>
        <v>17265</v>
      </c>
      <c r="V20" s="51">
        <f t="shared" si="30"/>
        <v>5585</v>
      </c>
      <c r="W20" s="51">
        <f t="shared" si="30"/>
        <v>22076.88</v>
      </c>
      <c r="X20" s="51">
        <f t="shared" si="30"/>
        <v>17745</v>
      </c>
      <c r="Y20" s="51">
        <f t="shared" si="30"/>
        <v>4331.880000000001</v>
      </c>
      <c r="Z20" s="51">
        <f t="shared" si="30"/>
        <v>16763.99</v>
      </c>
      <c r="AA20" s="51">
        <f t="shared" si="30"/>
        <v>15590</v>
      </c>
      <c r="AB20" s="51">
        <f t="shared" si="30"/>
        <v>1173.99</v>
      </c>
      <c r="AC20" s="51">
        <f t="shared" si="30"/>
        <v>50600</v>
      </c>
      <c r="AD20" s="51">
        <f t="shared" si="30"/>
        <v>19207.019999999997</v>
      </c>
      <c r="AE20" s="51">
        <f t="shared" si="30"/>
        <v>15355</v>
      </c>
      <c r="AF20" s="51">
        <f t="shared" si="30"/>
        <v>3852.0199999999995</v>
      </c>
      <c r="AG20" s="51">
        <f t="shared" si="30"/>
        <v>0</v>
      </c>
      <c r="AH20" s="51">
        <f t="shared" si="30"/>
        <v>1973.3000000000002</v>
      </c>
      <c r="AI20" s="51">
        <f aca="true" t="shared" si="31" ref="AI20:BN20">SUM(AI11:AI19)</f>
        <v>35959.02</v>
      </c>
      <c r="AJ20" s="51">
        <f t="shared" si="31"/>
        <v>15240</v>
      </c>
      <c r="AK20" s="51">
        <f t="shared" si="31"/>
        <v>17213.3</v>
      </c>
      <c r="AL20" s="51">
        <f t="shared" si="31"/>
        <v>16155</v>
      </c>
      <c r="AM20" s="51">
        <f t="shared" si="31"/>
        <v>1058.3000000000002</v>
      </c>
      <c r="AN20" s="51">
        <f t="shared" si="31"/>
        <v>0</v>
      </c>
      <c r="AO20" s="51">
        <f t="shared" si="31"/>
        <v>0</v>
      </c>
      <c r="AP20" s="51">
        <f t="shared" si="31"/>
        <v>16513.64</v>
      </c>
      <c r="AQ20" s="51">
        <f t="shared" si="31"/>
        <v>16513.64</v>
      </c>
      <c r="AR20" s="51">
        <f t="shared" si="31"/>
        <v>11738.06</v>
      </c>
      <c r="AS20" s="51">
        <f t="shared" si="31"/>
        <v>0</v>
      </c>
      <c r="AT20" s="51">
        <f t="shared" si="31"/>
        <v>11738.06</v>
      </c>
      <c r="AU20" s="51">
        <f t="shared" si="31"/>
        <v>0</v>
      </c>
      <c r="AV20" s="51">
        <f t="shared" si="31"/>
        <v>16513.64</v>
      </c>
      <c r="AW20" s="51">
        <f t="shared" si="31"/>
        <v>14245</v>
      </c>
      <c r="AX20" s="51">
        <f t="shared" si="31"/>
        <v>2268.6400000000003</v>
      </c>
      <c r="AY20" s="51">
        <f t="shared" si="31"/>
        <v>0</v>
      </c>
      <c r="AZ20" s="51">
        <f t="shared" si="31"/>
        <v>45755</v>
      </c>
      <c r="BA20" s="51">
        <f t="shared" si="31"/>
        <v>0</v>
      </c>
      <c r="BB20" s="51">
        <f t="shared" si="31"/>
        <v>4205.370000000001</v>
      </c>
      <c r="BC20" s="51">
        <f t="shared" si="31"/>
        <v>15943.43</v>
      </c>
      <c r="BD20" s="453">
        <f t="shared" si="31"/>
        <v>15943.43</v>
      </c>
      <c r="BE20" s="51">
        <f t="shared" si="31"/>
        <v>0</v>
      </c>
      <c r="BF20" s="51">
        <f t="shared" si="31"/>
        <v>0</v>
      </c>
      <c r="BG20" s="51">
        <f>SUM(BG11:BG19)</f>
        <v>7931.3099999999995</v>
      </c>
      <c r="BH20" s="51">
        <f>SUM(BH11:BH19)</f>
        <v>7931.3099999999995</v>
      </c>
      <c r="BI20" s="51">
        <f>SUM(BI11:BI19)</f>
        <v>0</v>
      </c>
      <c r="BJ20" s="51">
        <f>SUM(BJ11:BJ19)</f>
        <v>0</v>
      </c>
      <c r="BK20" s="51">
        <f t="shared" si="31"/>
        <v>23874.74</v>
      </c>
      <c r="BL20" s="51">
        <f t="shared" si="31"/>
        <v>175989.74</v>
      </c>
      <c r="BM20" s="51">
        <f t="shared" si="31"/>
        <v>152115</v>
      </c>
      <c r="BN20" s="51">
        <f t="shared" si="31"/>
        <v>-2268.6400000000003</v>
      </c>
    </row>
    <row r="21" spans="1:66" s="10" customFormat="1" ht="20.25" customHeight="1" thickBot="1">
      <c r="A21" s="71"/>
      <c r="B21" s="161" t="s">
        <v>70</v>
      </c>
      <c r="C21" s="52">
        <f aca="true" t="shared" si="32" ref="C21:AH21">C10+C20</f>
        <v>2208690</v>
      </c>
      <c r="D21" s="52">
        <f t="shared" si="32"/>
        <v>257651.81705248</v>
      </c>
      <c r="E21" s="52">
        <f t="shared" si="32"/>
        <v>210968</v>
      </c>
      <c r="F21" s="200">
        <f t="shared" si="32"/>
        <v>46683.817052479986</v>
      </c>
      <c r="G21" s="52">
        <f t="shared" si="32"/>
        <v>120363.84615384616</v>
      </c>
      <c r="H21" s="52">
        <f t="shared" si="32"/>
        <v>183669.99030155</v>
      </c>
      <c r="I21" s="200">
        <f t="shared" si="32"/>
        <v>46683.817052479986</v>
      </c>
      <c r="J21" s="52">
        <f t="shared" si="32"/>
        <v>297375.33735403</v>
      </c>
      <c r="K21" s="52">
        <f t="shared" si="32"/>
        <v>296027</v>
      </c>
      <c r="L21" s="200">
        <f t="shared" si="32"/>
        <v>1348.337354029995</v>
      </c>
      <c r="M21" s="52">
        <f t="shared" si="32"/>
        <v>181777.43999999997</v>
      </c>
      <c r="N21" s="183">
        <f t="shared" si="32"/>
        <v>278325</v>
      </c>
      <c r="O21" s="290">
        <f t="shared" si="32"/>
        <v>1262.4699999999975</v>
      </c>
      <c r="P21" s="183">
        <f t="shared" si="32"/>
        <v>243186.6666666667</v>
      </c>
      <c r="Q21" s="290">
        <f t="shared" si="32"/>
        <v>2610.8073540299924</v>
      </c>
      <c r="R21" s="52">
        <f t="shared" si="32"/>
        <v>785320</v>
      </c>
      <c r="S21" s="52">
        <f t="shared" si="32"/>
        <v>189050</v>
      </c>
      <c r="T21" s="52">
        <f t="shared" si="32"/>
        <v>193876.87735403</v>
      </c>
      <c r="U21" s="52">
        <f t="shared" si="32"/>
        <v>284656</v>
      </c>
      <c r="V21" s="200">
        <f t="shared" si="32"/>
        <v>-90779.12264597003</v>
      </c>
      <c r="W21" s="52">
        <f t="shared" si="32"/>
        <v>185600.99000000002</v>
      </c>
      <c r="X21" s="52">
        <f t="shared" si="32"/>
        <v>304181</v>
      </c>
      <c r="Y21" s="200">
        <f t="shared" si="32"/>
        <v>-118580.00999999998</v>
      </c>
      <c r="Z21" s="52">
        <f t="shared" si="32"/>
        <v>188249.94</v>
      </c>
      <c r="AA21" s="52">
        <f t="shared" si="32"/>
        <v>279664</v>
      </c>
      <c r="AB21" s="200">
        <f t="shared" si="32"/>
        <v>-91414.05999999998</v>
      </c>
      <c r="AC21" s="52">
        <f t="shared" si="32"/>
        <v>868501</v>
      </c>
      <c r="AD21" s="52">
        <f t="shared" si="32"/>
        <v>222167.68999999997</v>
      </c>
      <c r="AE21" s="52">
        <f t="shared" si="32"/>
        <v>306317</v>
      </c>
      <c r="AF21" s="52">
        <f t="shared" si="32"/>
        <v>15184.349999999995</v>
      </c>
      <c r="AG21" s="52">
        <f t="shared" si="32"/>
        <v>130990.42857142858</v>
      </c>
      <c r="AH21" s="200">
        <f t="shared" si="32"/>
        <v>-194809.71999999994</v>
      </c>
      <c r="AI21" s="52">
        <f aca="true" t="shared" si="33" ref="AI21:BN21">AI10+AI20</f>
        <v>482800</v>
      </c>
      <c r="AJ21" s="52">
        <f t="shared" si="33"/>
        <v>193072.31</v>
      </c>
      <c r="AK21" s="390">
        <f t="shared" si="33"/>
        <v>-655.219999999932</v>
      </c>
      <c r="AL21" s="52">
        <f t="shared" si="33"/>
        <v>268906</v>
      </c>
      <c r="AM21" s="200">
        <f t="shared" si="33"/>
        <v>-14974.653887764965</v>
      </c>
      <c r="AN21" s="52">
        <f t="shared" si="33"/>
        <v>130278.125</v>
      </c>
      <c r="AO21" s="200">
        <f t="shared" si="33"/>
        <v>8599.298709622186</v>
      </c>
      <c r="AP21" s="52">
        <f t="shared" si="33"/>
        <v>171677.81</v>
      </c>
      <c r="AQ21" s="52">
        <f t="shared" si="33"/>
        <v>179359.11309981375</v>
      </c>
      <c r="AR21" s="418">
        <f t="shared" si="33"/>
        <v>157600</v>
      </c>
      <c r="AS21" s="52">
        <f t="shared" si="33"/>
        <v>10000</v>
      </c>
      <c r="AT21" s="52">
        <f t="shared" si="33"/>
        <v>70231.97</v>
      </c>
      <c r="AU21" s="52">
        <f t="shared" si="33"/>
        <v>77368.03000000001</v>
      </c>
      <c r="AV21" s="52">
        <f t="shared" si="33"/>
        <v>189428.68309981376</v>
      </c>
      <c r="AW21" s="52">
        <f t="shared" si="33"/>
        <v>264668</v>
      </c>
      <c r="AX21" s="200">
        <f t="shared" si="33"/>
        <v>2297.2400000000007</v>
      </c>
      <c r="AY21" s="52">
        <f t="shared" si="33"/>
        <v>114828.33333333334</v>
      </c>
      <c r="AZ21" s="52">
        <f t="shared" si="33"/>
        <v>839891</v>
      </c>
      <c r="BA21" s="200">
        <f t="shared" si="33"/>
        <v>2297.2400000000007</v>
      </c>
      <c r="BB21" s="52">
        <f t="shared" si="33"/>
        <v>108620.59560980841</v>
      </c>
      <c r="BC21" s="52">
        <f t="shared" si="33"/>
        <v>178782.9956098084</v>
      </c>
      <c r="BD21" s="454">
        <f t="shared" si="33"/>
        <v>181080.23560980838</v>
      </c>
      <c r="BE21" s="52">
        <f t="shared" si="33"/>
        <v>7097.390000000014</v>
      </c>
      <c r="BF21" s="52">
        <f t="shared" si="33"/>
        <v>84465.42000000003</v>
      </c>
      <c r="BG21" s="52">
        <f>BG10+BG20</f>
        <v>106489</v>
      </c>
      <c r="BH21" s="52">
        <f>BH10+BH20</f>
        <v>146453.27000000002</v>
      </c>
      <c r="BI21" s="52">
        <f>BI10+BI20</f>
        <v>0</v>
      </c>
      <c r="BJ21" s="52">
        <f>BJ10+BJ20</f>
        <v>44501.15</v>
      </c>
      <c r="BK21" s="52">
        <f t="shared" si="33"/>
        <v>372034.65560980834</v>
      </c>
      <c r="BL21" s="52">
        <f t="shared" si="33"/>
        <v>2865746.655609808</v>
      </c>
      <c r="BM21" s="52">
        <f t="shared" si="33"/>
        <v>2493712</v>
      </c>
      <c r="BN21" s="52">
        <f t="shared" si="33"/>
        <v>0</v>
      </c>
    </row>
    <row r="22" spans="1:114" s="82" customFormat="1" ht="34.5" customHeight="1" thickBot="1">
      <c r="A22" s="16"/>
      <c r="B22" s="17"/>
      <c r="C22" s="248" t="s">
        <v>52</v>
      </c>
      <c r="D22" s="247">
        <f>5891.81+62630</f>
        <v>68521.81</v>
      </c>
      <c r="E22" s="274">
        <v>68521.81</v>
      </c>
      <c r="F22" s="168"/>
      <c r="G22" s="165" t="s">
        <v>37</v>
      </c>
      <c r="H22" s="171">
        <f>F21*100/G21</f>
        <v>38.78558100645094</v>
      </c>
      <c r="I22" s="22"/>
      <c r="J22" s="22"/>
      <c r="K22" s="262">
        <f>75+1163.97+61160</f>
        <v>62398.97</v>
      </c>
      <c r="L22" s="261" t="s">
        <v>57</v>
      </c>
      <c r="M22" s="260">
        <f>L21</f>
        <v>1348.337354029995</v>
      </c>
      <c r="N22" s="284" t="s">
        <v>72</v>
      </c>
      <c r="O22" s="288">
        <f>-(O6+O7+O9)</f>
        <v>97810.03</v>
      </c>
      <c r="P22" s="482" t="s">
        <v>79</v>
      </c>
      <c r="Q22" s="483"/>
      <c r="R22" s="238" t="s">
        <v>71</v>
      </c>
      <c r="S22" s="239">
        <v>373100</v>
      </c>
      <c r="U22" s="284" t="s">
        <v>80</v>
      </c>
      <c r="V22" s="306">
        <f>(13068.1+83300)</f>
        <v>96368.1</v>
      </c>
      <c r="W22" s="307"/>
      <c r="X22" s="284" t="s">
        <v>84</v>
      </c>
      <c r="Y22" s="310">
        <f>-(Y6+Y7+Y9)</f>
        <v>122921.1</v>
      </c>
      <c r="Z22" s="315"/>
      <c r="AA22" s="284" t="s">
        <v>90</v>
      </c>
      <c r="AB22" s="310">
        <f>-(AB6+AB7)</f>
        <v>92604.76</v>
      </c>
      <c r="AC22" s="487" t="s">
        <v>92</v>
      </c>
      <c r="AD22" s="488"/>
      <c r="AE22" s="284" t="s">
        <v>106</v>
      </c>
      <c r="AF22" s="291">
        <f>-AF7</f>
        <v>99333.66</v>
      </c>
      <c r="AG22" s="381" t="s">
        <v>110</v>
      </c>
      <c r="AH22" s="381"/>
      <c r="AJ22" s="316"/>
      <c r="AK22" s="316"/>
      <c r="AL22" s="230" t="s">
        <v>121</v>
      </c>
      <c r="AM22" s="404">
        <f>AM21</f>
        <v>-14974.653887764965</v>
      </c>
      <c r="AN22" s="394" t="s">
        <v>37</v>
      </c>
      <c r="AO22" s="405">
        <f>AM22*100/AN21</f>
        <v>-11.494373201767345</v>
      </c>
      <c r="AP22" s="381"/>
      <c r="AQ22" s="381"/>
      <c r="AR22" s="381"/>
      <c r="AS22" s="381"/>
      <c r="AT22" s="381"/>
      <c r="AU22" s="381"/>
      <c r="AV22" s="381"/>
      <c r="AW22" s="381"/>
      <c r="AX22" s="428" t="s">
        <v>144</v>
      </c>
      <c r="AY22" s="429">
        <f>AX21*100/AY21</f>
        <v>2.000586382571085</v>
      </c>
      <c r="AZ22" s="381"/>
      <c r="BA22" s="381"/>
      <c r="BB22" s="381"/>
      <c r="BC22" s="381"/>
      <c r="BD22" s="455"/>
      <c r="BE22" s="381"/>
      <c r="BF22" s="381"/>
      <c r="BG22" s="381"/>
      <c r="BH22" s="381"/>
      <c r="BI22" s="381"/>
      <c r="BJ22" s="381"/>
      <c r="BK22" s="381"/>
      <c r="BL22" s="381"/>
      <c r="BM22" s="381"/>
      <c r="BN22" s="381"/>
      <c r="BO22" s="381"/>
      <c r="BP22" s="381"/>
      <c r="BQ22" s="381"/>
      <c r="BR22" s="381"/>
      <c r="BS22" s="381"/>
      <c r="BT22" s="381"/>
      <c r="BU22" s="381"/>
      <c r="BV22" s="381"/>
      <c r="BW22" s="381"/>
      <c r="BX22" s="381"/>
      <c r="BY22" s="381"/>
      <c r="BZ22" s="381"/>
      <c r="CA22" s="381"/>
      <c r="CB22" s="381"/>
      <c r="CC22" s="381"/>
      <c r="CD22" s="381"/>
      <c r="CE22" s="381"/>
      <c r="CF22" s="381"/>
      <c r="CG22" s="381"/>
      <c r="CH22" s="381"/>
      <c r="CI22" s="381"/>
      <c r="CJ22" s="381"/>
      <c r="CK22" s="381"/>
      <c r="CL22" s="381"/>
      <c r="CM22" s="381"/>
      <c r="CN22" s="381"/>
      <c r="CO22" s="381"/>
      <c r="CP22" s="381"/>
      <c r="CQ22" s="381"/>
      <c r="CR22" s="381"/>
      <c r="CS22" s="381"/>
      <c r="CT22" s="381"/>
      <c r="CU22" s="381"/>
      <c r="CV22" s="381"/>
      <c r="CW22" s="381"/>
      <c r="CX22" s="381"/>
      <c r="CY22" s="381"/>
      <c r="CZ22" s="381"/>
      <c r="DA22" s="381"/>
      <c r="DB22" s="381"/>
      <c r="DC22" s="381"/>
      <c r="DD22" s="381"/>
      <c r="DE22" s="381"/>
      <c r="DF22" s="381"/>
      <c r="DG22" s="381"/>
      <c r="DH22" s="381"/>
      <c r="DI22" s="381"/>
      <c r="DJ22" s="381"/>
    </row>
    <row r="23" spans="2:65" s="146" customFormat="1" ht="36" customHeight="1" hidden="1" thickBot="1">
      <c r="B23" s="147"/>
      <c r="C23" s="148"/>
      <c r="D23" s="86"/>
      <c r="E23" s="86"/>
      <c r="F23" s="86"/>
      <c r="G23" s="86"/>
      <c r="H23" s="149"/>
      <c r="I23" s="149"/>
      <c r="J23" s="148"/>
      <c r="K23" s="149"/>
      <c r="L23" s="484" t="s">
        <v>78</v>
      </c>
      <c r="M23" s="485"/>
      <c r="N23" s="289">
        <f>M22+O21</f>
        <v>2610.8073540299924</v>
      </c>
      <c r="O23" s="165" t="s">
        <v>37</v>
      </c>
      <c r="P23" s="293">
        <f>N23*100/P21</f>
        <v>1.0735816193445333</v>
      </c>
      <c r="Q23" s="149"/>
      <c r="R23" s="147"/>
      <c r="S23" s="86"/>
      <c r="T23" s="86"/>
      <c r="U23" s="191" t="s">
        <v>42</v>
      </c>
      <c r="V23" s="302">
        <f>V21</f>
        <v>-90779.12264597003</v>
      </c>
      <c r="W23" s="150"/>
      <c r="X23" s="191" t="s">
        <v>42</v>
      </c>
      <c r="Y23" s="302">
        <f>Y21</f>
        <v>-118580.00999999998</v>
      </c>
      <c r="Z23" s="86"/>
      <c r="AA23" s="191" t="s">
        <v>42</v>
      </c>
      <c r="AB23" s="302">
        <f>AB21</f>
        <v>-91414.05999999998</v>
      </c>
      <c r="AC23" s="86"/>
      <c r="AD23" s="86"/>
      <c r="AE23" s="191" t="s">
        <v>42</v>
      </c>
      <c r="AF23" s="382">
        <f>AF21-AF16</f>
        <v>13211.049999999996</v>
      </c>
      <c r="AG23" s="383" t="s">
        <v>112</v>
      </c>
      <c r="AH23" s="387">
        <f>AF24*100/AG21</f>
        <v>-150.2270220397782</v>
      </c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218"/>
      <c r="BE23" s="86"/>
      <c r="BF23" s="86"/>
      <c r="BG23" s="86"/>
      <c r="BH23" s="86"/>
      <c r="BI23" s="86"/>
      <c r="BJ23" s="86"/>
      <c r="BK23" s="192" t="s">
        <v>109</v>
      </c>
      <c r="BL23" s="406">
        <f>AB23+Y23+AF21</f>
        <v>-194809.71999999994</v>
      </c>
      <c r="BM23" s="86"/>
    </row>
    <row r="24" spans="2:65" s="127" customFormat="1" ht="33" thickBot="1">
      <c r="B24" s="151"/>
      <c r="C24" s="119"/>
      <c r="D24" s="37"/>
      <c r="E24" s="37"/>
      <c r="F24" s="37"/>
      <c r="G24" s="37"/>
      <c r="H24" s="119"/>
      <c r="I24" s="119"/>
      <c r="J24" s="43"/>
      <c r="K24" s="119"/>
      <c r="L24" s="119"/>
      <c r="M24" s="119"/>
      <c r="N24" s="119"/>
      <c r="O24" s="119"/>
      <c r="P24" s="119"/>
      <c r="Q24" s="119"/>
      <c r="R24" s="115"/>
      <c r="S24" s="37"/>
      <c r="T24" s="37"/>
      <c r="U24" s="37"/>
      <c r="V24" s="37"/>
      <c r="W24" s="114"/>
      <c r="X24" s="37"/>
      <c r="Y24" s="37"/>
      <c r="Z24" s="37"/>
      <c r="AA24" s="37"/>
      <c r="AB24" s="37"/>
      <c r="AC24" s="37"/>
      <c r="AD24" s="37"/>
      <c r="AE24" s="388" t="s">
        <v>115</v>
      </c>
      <c r="AF24" s="225">
        <f>BL23-AF16</f>
        <v>-196783.01999999993</v>
      </c>
      <c r="AG24" s="37"/>
      <c r="AH24" s="37"/>
      <c r="AI24" s="37"/>
      <c r="AJ24" s="37"/>
      <c r="AK24" s="37"/>
      <c r="AL24" s="284" t="s">
        <v>122</v>
      </c>
      <c r="AM24" s="254">
        <f>-(AM7+AM9)</f>
        <v>254586.56611223496</v>
      </c>
      <c r="AN24" s="487" t="s">
        <v>123</v>
      </c>
      <c r="AO24" s="488"/>
      <c r="AP24" s="37"/>
      <c r="AQ24" s="37"/>
      <c r="AR24" s="37"/>
      <c r="AS24" s="37"/>
      <c r="AT24" s="489"/>
      <c r="AU24" s="489"/>
      <c r="AV24" s="37"/>
      <c r="AW24" s="284" t="s">
        <v>143</v>
      </c>
      <c r="AX24" s="254">
        <f>-(AX6+AX7+AX9)</f>
        <v>77536.55690018623</v>
      </c>
      <c r="AY24" s="37"/>
      <c r="AZ24" s="37"/>
      <c r="BA24" s="37"/>
      <c r="BB24" s="37"/>
      <c r="BC24" s="37"/>
      <c r="BD24" s="218"/>
      <c r="BE24" s="37"/>
      <c r="BF24" s="37"/>
      <c r="BG24" s="37"/>
      <c r="BH24" s="37"/>
      <c r="BI24" s="37"/>
      <c r="BJ24" s="37"/>
      <c r="BK24" s="37"/>
      <c r="BL24" s="114"/>
      <c r="BM24" s="37"/>
    </row>
    <row r="25" spans="2:65" s="127" customFormat="1" ht="15">
      <c r="B25" s="152"/>
      <c r="C25" s="153"/>
      <c r="D25" s="37"/>
      <c r="E25" s="37"/>
      <c r="F25" s="37"/>
      <c r="G25" s="37"/>
      <c r="H25" s="119"/>
      <c r="I25" s="119"/>
      <c r="J25" s="43"/>
      <c r="K25" s="119"/>
      <c r="L25" s="119"/>
      <c r="M25" s="119"/>
      <c r="N25" s="119"/>
      <c r="O25" s="119"/>
      <c r="P25" s="119"/>
      <c r="Q25" s="119"/>
      <c r="R25" s="115"/>
      <c r="S25" s="37"/>
      <c r="T25" s="37"/>
      <c r="U25" s="37"/>
      <c r="V25" s="37"/>
      <c r="W25" s="114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218"/>
      <c r="BE25" s="37"/>
      <c r="BF25" s="37"/>
      <c r="BG25" s="37"/>
      <c r="BH25" s="37"/>
      <c r="BI25" s="37"/>
      <c r="BJ25" s="37"/>
      <c r="BK25" s="37"/>
      <c r="BL25" s="114"/>
      <c r="BM25" s="37"/>
    </row>
    <row r="26" spans="2:65" s="127" customFormat="1" ht="15">
      <c r="B26" s="115"/>
      <c r="C26" s="43"/>
      <c r="D26" s="37"/>
      <c r="E26" s="37"/>
      <c r="F26" s="37"/>
      <c r="G26" s="37"/>
      <c r="H26" s="119"/>
      <c r="I26" s="119"/>
      <c r="J26" s="43"/>
      <c r="K26" s="119"/>
      <c r="L26" s="119"/>
      <c r="M26" s="119"/>
      <c r="N26" s="119"/>
      <c r="O26" s="119"/>
      <c r="P26" s="119"/>
      <c r="Q26" s="119"/>
      <c r="R26" s="115"/>
      <c r="S26" s="37"/>
      <c r="T26" s="37"/>
      <c r="U26" s="37"/>
      <c r="V26" s="37"/>
      <c r="W26" s="114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218"/>
      <c r="BE26" s="37"/>
      <c r="BF26" s="37"/>
      <c r="BG26" s="37"/>
      <c r="BH26" s="37"/>
      <c r="BI26" s="37"/>
      <c r="BJ26" s="37"/>
      <c r="BK26" s="37"/>
      <c r="BL26" s="114"/>
      <c r="BM26" s="37"/>
    </row>
    <row r="27" spans="2:65" s="127" customFormat="1" ht="15">
      <c r="B27" s="118"/>
      <c r="C27" s="117"/>
      <c r="D27" s="139"/>
      <c r="E27" s="139"/>
      <c r="F27" s="117"/>
      <c r="G27" s="117"/>
      <c r="H27" s="140"/>
      <c r="I27" s="140"/>
      <c r="J27" s="117"/>
      <c r="K27" s="140"/>
      <c r="L27" s="140"/>
      <c r="M27" s="140"/>
      <c r="N27" s="140"/>
      <c r="O27" s="140"/>
      <c r="P27" s="140"/>
      <c r="Q27" s="140"/>
      <c r="R27" s="132"/>
      <c r="S27" s="98"/>
      <c r="T27" s="98"/>
      <c r="U27" s="98"/>
      <c r="V27" s="299"/>
      <c r="W27" s="98"/>
      <c r="X27" s="37"/>
      <c r="Y27" s="37"/>
      <c r="Z27" s="37"/>
      <c r="AA27" s="486"/>
      <c r="AB27" s="486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456"/>
      <c r="BE27" s="120"/>
      <c r="BF27" s="120"/>
      <c r="BG27" s="120"/>
      <c r="BH27" s="120"/>
      <c r="BI27" s="120"/>
      <c r="BJ27" s="120"/>
      <c r="BK27" s="120"/>
      <c r="BL27" s="154"/>
      <c r="BM27" s="155"/>
    </row>
    <row r="28" spans="2:65" s="127" customFormat="1" ht="15.75" customHeight="1">
      <c r="B28" s="118"/>
      <c r="C28" s="117"/>
      <c r="D28" s="139"/>
      <c r="E28" s="141"/>
      <c r="F28" s="139"/>
      <c r="G28" s="139"/>
      <c r="H28" s="140"/>
      <c r="I28" s="140"/>
      <c r="J28" s="117"/>
      <c r="K28" s="140"/>
      <c r="L28" s="140"/>
      <c r="M28" s="140"/>
      <c r="N28" s="140"/>
      <c r="O28" s="140"/>
      <c r="P28" s="140"/>
      <c r="Q28" s="140"/>
      <c r="R28" s="132"/>
      <c r="S28" s="37"/>
      <c r="T28" s="37"/>
      <c r="U28" s="37"/>
      <c r="V28" s="37"/>
      <c r="W28" s="114"/>
      <c r="X28" s="37"/>
      <c r="Y28" s="37"/>
      <c r="Z28" s="37"/>
      <c r="AA28" s="142"/>
      <c r="AB28" s="143"/>
      <c r="AC28" s="143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457"/>
      <c r="BE28" s="325"/>
      <c r="BF28" s="325"/>
      <c r="BG28" s="325"/>
      <c r="BH28" s="325"/>
      <c r="BI28" s="325"/>
      <c r="BJ28" s="325"/>
      <c r="BK28" s="325"/>
      <c r="BL28" s="132"/>
      <c r="BM28" s="139"/>
    </row>
    <row r="29" spans="2:65" s="127" customFormat="1" ht="15" customHeight="1">
      <c r="B29" s="144"/>
      <c r="C29" s="117"/>
      <c r="D29" s="139"/>
      <c r="E29" s="139"/>
      <c r="F29" s="139"/>
      <c r="G29" s="139"/>
      <c r="H29" s="140"/>
      <c r="I29" s="140"/>
      <c r="J29" s="117"/>
      <c r="K29" s="139"/>
      <c r="L29" s="140"/>
      <c r="M29" s="140"/>
      <c r="N29" s="140"/>
      <c r="O29" s="140"/>
      <c r="P29" s="140"/>
      <c r="Q29" s="140"/>
      <c r="R29" s="132"/>
      <c r="S29" s="37"/>
      <c r="T29" s="37"/>
      <c r="U29" s="37"/>
      <c r="V29" s="37"/>
      <c r="W29" s="114"/>
      <c r="X29" s="37"/>
      <c r="Y29" s="37"/>
      <c r="Z29" s="37"/>
      <c r="AA29" s="142"/>
      <c r="AB29" s="143"/>
      <c r="AC29" s="143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457"/>
      <c r="BE29" s="325"/>
      <c r="BF29" s="325"/>
      <c r="BG29" s="325"/>
      <c r="BH29" s="325"/>
      <c r="BI29" s="325"/>
      <c r="BJ29" s="325"/>
      <c r="BK29" s="325"/>
      <c r="BL29" s="206"/>
      <c r="BM29" s="139"/>
    </row>
    <row r="30" spans="2:65" s="127" customFormat="1" ht="17.25" customHeight="1">
      <c r="B30" s="145"/>
      <c r="C30" s="43"/>
      <c r="D30" s="37"/>
      <c r="E30" s="37"/>
      <c r="F30" s="37"/>
      <c r="G30" s="37"/>
      <c r="H30" s="119"/>
      <c r="I30" s="119"/>
      <c r="J30" s="43"/>
      <c r="K30" s="119"/>
      <c r="L30" s="119"/>
      <c r="M30" s="119"/>
      <c r="N30" s="119"/>
      <c r="O30" s="119"/>
      <c r="P30" s="119"/>
      <c r="Q30" s="119"/>
      <c r="R30" s="114"/>
      <c r="S30" s="37"/>
      <c r="T30" s="37"/>
      <c r="U30" s="37"/>
      <c r="V30" s="37"/>
      <c r="W30" s="114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218"/>
      <c r="BE30" s="37"/>
      <c r="BF30" s="37"/>
      <c r="BG30" s="37"/>
      <c r="BH30" s="37"/>
      <c r="BI30" s="37"/>
      <c r="BJ30" s="37"/>
      <c r="BK30" s="37"/>
      <c r="BL30" s="132"/>
      <c r="BM30" s="139"/>
    </row>
    <row r="31" spans="2:65" s="127" customFormat="1" ht="25.5" customHeight="1" hidden="1" thickBot="1">
      <c r="B31" s="115"/>
      <c r="C31" s="43"/>
      <c r="D31" s="37"/>
      <c r="E31" s="37"/>
      <c r="F31" s="37"/>
      <c r="G31" s="37"/>
      <c r="H31" s="119"/>
      <c r="I31" s="119"/>
      <c r="J31" s="43"/>
      <c r="K31" s="119"/>
      <c r="L31" s="119"/>
      <c r="M31" s="119"/>
      <c r="N31" s="119"/>
      <c r="O31" s="119"/>
      <c r="P31" s="119"/>
      <c r="Q31" s="119"/>
      <c r="R31" s="115"/>
      <c r="S31" s="37"/>
      <c r="T31" s="37"/>
      <c r="U31" s="37"/>
      <c r="V31" s="37"/>
      <c r="W31" s="114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218"/>
      <c r="BE31" s="37"/>
      <c r="BF31" s="37"/>
      <c r="BG31" s="37"/>
      <c r="BH31" s="37"/>
      <c r="BI31" s="37"/>
      <c r="BJ31" s="37"/>
      <c r="BK31" s="37"/>
      <c r="BL31" s="114"/>
      <c r="BM31" s="37"/>
    </row>
    <row r="32" spans="2:65" s="127" customFormat="1" ht="25.5" customHeight="1" hidden="1" thickBot="1">
      <c r="B32" s="115"/>
      <c r="C32" s="43"/>
      <c r="D32" s="37"/>
      <c r="E32" s="37"/>
      <c r="F32" s="37"/>
      <c r="G32" s="37"/>
      <c r="H32" s="119"/>
      <c r="I32" s="119"/>
      <c r="J32" s="43"/>
      <c r="K32" s="119"/>
      <c r="L32" s="119"/>
      <c r="M32" s="119"/>
      <c r="N32" s="119"/>
      <c r="O32" s="119"/>
      <c r="P32" s="119"/>
      <c r="Q32" s="119"/>
      <c r="R32" s="115"/>
      <c r="S32" s="37"/>
      <c r="T32" s="37"/>
      <c r="U32" s="37"/>
      <c r="V32" s="37"/>
      <c r="W32" s="114"/>
      <c r="X32" s="37"/>
      <c r="Y32" s="37"/>
      <c r="Z32" s="37"/>
      <c r="AA32" s="37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458"/>
      <c r="BE32" s="121"/>
      <c r="BF32" s="121"/>
      <c r="BG32" s="121"/>
      <c r="BH32" s="121"/>
      <c r="BI32" s="121"/>
      <c r="BJ32" s="121"/>
      <c r="BK32" s="121"/>
      <c r="BL32" s="114"/>
      <c r="BM32" s="37"/>
    </row>
    <row r="33" spans="2:65" s="127" customFormat="1" ht="25.5" customHeight="1" hidden="1">
      <c r="B33" s="115"/>
      <c r="C33" s="43"/>
      <c r="D33" s="37"/>
      <c r="E33" s="37"/>
      <c r="F33" s="37"/>
      <c r="G33" s="37"/>
      <c r="H33" s="119"/>
      <c r="I33" s="119"/>
      <c r="J33" s="43"/>
      <c r="K33" s="119"/>
      <c r="L33" s="119"/>
      <c r="M33" s="119"/>
      <c r="N33" s="119"/>
      <c r="O33" s="119"/>
      <c r="P33" s="119"/>
      <c r="Q33" s="119"/>
      <c r="R33" s="115"/>
      <c r="S33" s="37"/>
      <c r="T33" s="37"/>
      <c r="U33" s="37"/>
      <c r="V33" s="37"/>
      <c r="W33" s="114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218"/>
      <c r="BE33" s="37"/>
      <c r="BF33" s="37"/>
      <c r="BG33" s="37"/>
      <c r="BH33" s="37"/>
      <c r="BI33" s="37"/>
      <c r="BJ33" s="37"/>
      <c r="BK33" s="37"/>
      <c r="BL33" s="114"/>
      <c r="BM33" s="37"/>
    </row>
    <row r="34" spans="2:65" s="127" customFormat="1" ht="25.5" customHeight="1">
      <c r="B34" s="115"/>
      <c r="C34" s="43"/>
      <c r="D34" s="37"/>
      <c r="E34" s="37"/>
      <c r="F34" s="37"/>
      <c r="G34" s="37"/>
      <c r="H34" s="119"/>
      <c r="I34" s="119"/>
      <c r="J34" s="43"/>
      <c r="K34" s="119"/>
      <c r="L34" s="119"/>
      <c r="M34" s="119"/>
      <c r="N34" s="119"/>
      <c r="O34" s="119"/>
      <c r="P34" s="119"/>
      <c r="Q34" s="119"/>
      <c r="R34" s="115"/>
      <c r="S34" s="37"/>
      <c r="T34" s="37"/>
      <c r="U34" s="37"/>
      <c r="V34" s="37"/>
      <c r="W34" s="114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218"/>
      <c r="BE34" s="37"/>
      <c r="BF34" s="37"/>
      <c r="BG34" s="37"/>
      <c r="BH34" s="37"/>
      <c r="BI34" s="37"/>
      <c r="BJ34" s="37"/>
      <c r="BK34" s="37"/>
      <c r="BL34" s="114"/>
      <c r="BM34" s="37"/>
    </row>
    <row r="35" spans="2:65" s="127" customFormat="1" ht="25.5" customHeight="1">
      <c r="B35" s="115"/>
      <c r="C35" s="43"/>
      <c r="D35" s="37"/>
      <c r="E35" s="37"/>
      <c r="F35" s="37"/>
      <c r="G35" s="37"/>
      <c r="H35" s="119"/>
      <c r="I35" s="119"/>
      <c r="J35" s="43"/>
      <c r="K35" s="119"/>
      <c r="L35" s="119"/>
      <c r="M35" s="119"/>
      <c r="N35" s="119"/>
      <c r="O35" s="119"/>
      <c r="P35" s="119"/>
      <c r="Q35" s="119"/>
      <c r="R35" s="115"/>
      <c r="S35" s="37"/>
      <c r="T35" s="37"/>
      <c r="U35" s="37"/>
      <c r="V35" s="37"/>
      <c r="W35" s="114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218"/>
      <c r="BE35" s="37"/>
      <c r="BF35" s="37"/>
      <c r="BG35" s="37"/>
      <c r="BH35" s="37"/>
      <c r="BI35" s="37"/>
      <c r="BJ35" s="37"/>
      <c r="BK35" s="37"/>
      <c r="BL35" s="114"/>
      <c r="BM35" s="37"/>
    </row>
    <row r="36" spans="2:65" s="127" customFormat="1" ht="25.5" customHeight="1">
      <c r="B36" s="115"/>
      <c r="C36" s="43"/>
      <c r="D36" s="37"/>
      <c r="E36" s="37"/>
      <c r="F36" s="37"/>
      <c r="G36" s="37"/>
      <c r="H36" s="119"/>
      <c r="I36" s="119"/>
      <c r="J36" s="43"/>
      <c r="K36" s="119"/>
      <c r="L36" s="119"/>
      <c r="M36" s="119"/>
      <c r="N36" s="119"/>
      <c r="O36" s="119"/>
      <c r="P36" s="119"/>
      <c r="Q36" s="119"/>
      <c r="R36" s="115"/>
      <c r="S36" s="37"/>
      <c r="T36" s="37"/>
      <c r="U36" s="37"/>
      <c r="V36" s="37"/>
      <c r="W36" s="114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218"/>
      <c r="BE36" s="37"/>
      <c r="BF36" s="37"/>
      <c r="BG36" s="37"/>
      <c r="BH36" s="37"/>
      <c r="BI36" s="37"/>
      <c r="BJ36" s="37"/>
      <c r="BK36" s="37"/>
      <c r="BL36" s="114"/>
      <c r="BM36" s="37"/>
    </row>
    <row r="37" spans="2:65" s="127" customFormat="1" ht="25.5" customHeight="1">
      <c r="B37" s="115"/>
      <c r="C37" s="43"/>
      <c r="D37" s="37"/>
      <c r="E37" s="37"/>
      <c r="F37" s="37"/>
      <c r="G37" s="37"/>
      <c r="H37" s="119"/>
      <c r="I37" s="119"/>
      <c r="J37" s="43"/>
      <c r="K37" s="119"/>
      <c r="L37" s="119"/>
      <c r="M37" s="119"/>
      <c r="N37" s="119"/>
      <c r="O37" s="119"/>
      <c r="P37" s="119"/>
      <c r="Q37" s="119"/>
      <c r="R37" s="115"/>
      <c r="S37" s="37"/>
      <c r="T37" s="37"/>
      <c r="U37" s="37"/>
      <c r="V37" s="37"/>
      <c r="W37" s="114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218"/>
      <c r="BE37" s="37"/>
      <c r="BF37" s="37"/>
      <c r="BG37" s="37"/>
      <c r="BH37" s="37"/>
      <c r="BI37" s="37"/>
      <c r="BJ37" s="37"/>
      <c r="BK37" s="37"/>
      <c r="BL37" s="114"/>
      <c r="BM37" s="37"/>
    </row>
    <row r="38" spans="2:65" s="127" customFormat="1" ht="25.5" customHeight="1">
      <c r="B38" s="115"/>
      <c r="C38" s="43"/>
      <c r="D38" s="37"/>
      <c r="E38" s="37"/>
      <c r="F38" s="37"/>
      <c r="G38" s="37"/>
      <c r="H38" s="119"/>
      <c r="I38" s="119"/>
      <c r="J38" s="43"/>
      <c r="K38" s="119"/>
      <c r="L38" s="119"/>
      <c r="M38" s="119"/>
      <c r="N38" s="119"/>
      <c r="O38" s="119"/>
      <c r="P38" s="119"/>
      <c r="Q38" s="119"/>
      <c r="R38" s="115"/>
      <c r="S38" s="37"/>
      <c r="T38" s="37"/>
      <c r="U38" s="37"/>
      <c r="V38" s="37"/>
      <c r="W38" s="114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218"/>
      <c r="BE38" s="37"/>
      <c r="BF38" s="37"/>
      <c r="BG38" s="37"/>
      <c r="BH38" s="37"/>
      <c r="BI38" s="37"/>
      <c r="BJ38" s="37"/>
      <c r="BK38" s="37"/>
      <c r="BL38" s="114"/>
      <c r="BM38" s="37"/>
    </row>
    <row r="39" spans="2:65" s="127" customFormat="1" ht="25.5" customHeight="1">
      <c r="B39" s="115"/>
      <c r="C39" s="43"/>
      <c r="D39" s="37"/>
      <c r="E39" s="37"/>
      <c r="F39" s="37"/>
      <c r="G39" s="37"/>
      <c r="H39" s="119"/>
      <c r="I39" s="119"/>
      <c r="J39" s="43"/>
      <c r="K39" s="119"/>
      <c r="L39" s="119"/>
      <c r="M39" s="119"/>
      <c r="N39" s="119"/>
      <c r="O39" s="119"/>
      <c r="P39" s="119"/>
      <c r="Q39" s="119"/>
      <c r="R39" s="115"/>
      <c r="S39" s="37"/>
      <c r="T39" s="37"/>
      <c r="U39" s="37"/>
      <c r="V39" s="37"/>
      <c r="W39" s="114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218"/>
      <c r="BE39" s="37"/>
      <c r="BF39" s="37"/>
      <c r="BG39" s="37"/>
      <c r="BH39" s="37"/>
      <c r="BI39" s="37"/>
      <c r="BJ39" s="37"/>
      <c r="BK39" s="37"/>
      <c r="BL39" s="114"/>
      <c r="BM39" s="37"/>
    </row>
    <row r="40" spans="2:65" s="127" customFormat="1" ht="25.5" customHeight="1">
      <c r="B40" s="115"/>
      <c r="C40" s="43"/>
      <c r="D40" s="37"/>
      <c r="E40" s="37"/>
      <c r="F40" s="37"/>
      <c r="G40" s="37"/>
      <c r="H40" s="119"/>
      <c r="I40" s="119"/>
      <c r="J40" s="43"/>
      <c r="K40" s="119"/>
      <c r="L40" s="119"/>
      <c r="M40" s="119"/>
      <c r="N40" s="119"/>
      <c r="O40" s="119"/>
      <c r="P40" s="119"/>
      <c r="Q40" s="119"/>
      <c r="R40" s="115"/>
      <c r="S40" s="37"/>
      <c r="T40" s="37"/>
      <c r="U40" s="37"/>
      <c r="V40" s="37"/>
      <c r="W40" s="114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218"/>
      <c r="BE40" s="37"/>
      <c r="BF40" s="37"/>
      <c r="BG40" s="37"/>
      <c r="BH40" s="37"/>
      <c r="BI40" s="37"/>
      <c r="BJ40" s="37"/>
      <c r="BK40" s="37"/>
      <c r="BL40" s="114"/>
      <c r="BM40" s="37"/>
    </row>
    <row r="41" spans="2:65" s="127" customFormat="1" ht="25.5" customHeight="1">
      <c r="B41" s="115"/>
      <c r="C41" s="43"/>
      <c r="D41" s="37"/>
      <c r="E41" s="37"/>
      <c r="F41" s="37"/>
      <c r="G41" s="37"/>
      <c r="H41" s="119"/>
      <c r="I41" s="119"/>
      <c r="J41" s="43"/>
      <c r="K41" s="119"/>
      <c r="L41" s="119"/>
      <c r="M41" s="119"/>
      <c r="N41" s="119"/>
      <c r="O41" s="119"/>
      <c r="P41" s="119"/>
      <c r="Q41" s="119"/>
      <c r="R41" s="115"/>
      <c r="S41" s="37"/>
      <c r="T41" s="37"/>
      <c r="U41" s="37"/>
      <c r="V41" s="37"/>
      <c r="W41" s="114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218"/>
      <c r="BE41" s="37"/>
      <c r="BF41" s="37"/>
      <c r="BG41" s="37"/>
      <c r="BH41" s="37"/>
      <c r="BI41" s="37"/>
      <c r="BJ41" s="37"/>
      <c r="BK41" s="37"/>
      <c r="BL41" s="114"/>
      <c r="BM41" s="37"/>
    </row>
    <row r="42" spans="2:65" s="127" customFormat="1" ht="25.5" customHeight="1">
      <c r="B42" s="115"/>
      <c r="C42" s="43"/>
      <c r="D42" s="37"/>
      <c r="E42" s="37"/>
      <c r="F42" s="37"/>
      <c r="G42" s="37"/>
      <c r="H42" s="119"/>
      <c r="I42" s="119"/>
      <c r="J42" s="43"/>
      <c r="K42" s="119"/>
      <c r="L42" s="119"/>
      <c r="M42" s="119"/>
      <c r="N42" s="119"/>
      <c r="O42" s="119"/>
      <c r="P42" s="119"/>
      <c r="Q42" s="119"/>
      <c r="R42" s="115"/>
      <c r="S42" s="37"/>
      <c r="T42" s="37"/>
      <c r="U42" s="37"/>
      <c r="V42" s="37"/>
      <c r="W42" s="114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218"/>
      <c r="BE42" s="37"/>
      <c r="BF42" s="37"/>
      <c r="BG42" s="37"/>
      <c r="BH42" s="37"/>
      <c r="BI42" s="37"/>
      <c r="BJ42" s="37"/>
      <c r="BK42" s="37"/>
      <c r="BL42" s="114"/>
      <c r="BM42" s="37"/>
    </row>
    <row r="43" spans="2:65" s="127" customFormat="1" ht="25.5" customHeight="1">
      <c r="B43" s="115"/>
      <c r="C43" s="43"/>
      <c r="D43" s="37"/>
      <c r="E43" s="37"/>
      <c r="F43" s="37"/>
      <c r="G43" s="37"/>
      <c r="H43" s="119"/>
      <c r="I43" s="119"/>
      <c r="J43" s="43"/>
      <c r="K43" s="119"/>
      <c r="L43" s="119"/>
      <c r="M43" s="119"/>
      <c r="N43" s="119"/>
      <c r="O43" s="119"/>
      <c r="P43" s="119"/>
      <c r="Q43" s="119"/>
      <c r="R43" s="115"/>
      <c r="S43" s="37"/>
      <c r="T43" s="37"/>
      <c r="U43" s="37"/>
      <c r="V43" s="37"/>
      <c r="W43" s="114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218"/>
      <c r="BE43" s="37"/>
      <c r="BF43" s="37"/>
      <c r="BG43" s="37"/>
      <c r="BH43" s="37"/>
      <c r="BI43" s="37"/>
      <c r="BJ43" s="37"/>
      <c r="BK43" s="37"/>
      <c r="BL43" s="114"/>
      <c r="BM43" s="37"/>
    </row>
    <row r="44" spans="2:65" s="127" customFormat="1" ht="25.5" customHeight="1">
      <c r="B44" s="115"/>
      <c r="C44" s="43"/>
      <c r="D44" s="37"/>
      <c r="E44" s="37"/>
      <c r="F44" s="37"/>
      <c r="G44" s="37"/>
      <c r="H44" s="119"/>
      <c r="I44" s="119"/>
      <c r="J44" s="43"/>
      <c r="K44" s="119"/>
      <c r="L44" s="119"/>
      <c r="M44" s="119"/>
      <c r="N44" s="119"/>
      <c r="O44" s="119"/>
      <c r="P44" s="119"/>
      <c r="Q44" s="119"/>
      <c r="R44" s="115"/>
      <c r="S44" s="37"/>
      <c r="T44" s="37"/>
      <c r="U44" s="37"/>
      <c r="V44" s="37"/>
      <c r="W44" s="114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218"/>
      <c r="BE44" s="37"/>
      <c r="BF44" s="37"/>
      <c r="BG44" s="37"/>
      <c r="BH44" s="37"/>
      <c r="BI44" s="37"/>
      <c r="BJ44" s="37"/>
      <c r="BK44" s="37"/>
      <c r="BL44" s="114"/>
      <c r="BM44" s="37"/>
    </row>
    <row r="45" spans="2:65" s="127" customFormat="1" ht="25.5" customHeight="1">
      <c r="B45" s="115"/>
      <c r="C45" s="43"/>
      <c r="D45" s="37"/>
      <c r="E45" s="37"/>
      <c r="F45" s="37"/>
      <c r="G45" s="37"/>
      <c r="H45" s="119"/>
      <c r="I45" s="119"/>
      <c r="J45" s="43"/>
      <c r="K45" s="119"/>
      <c r="L45" s="119"/>
      <c r="M45" s="119"/>
      <c r="N45" s="119"/>
      <c r="O45" s="119"/>
      <c r="P45" s="119"/>
      <c r="Q45" s="119"/>
      <c r="R45" s="115"/>
      <c r="S45" s="37"/>
      <c r="T45" s="37"/>
      <c r="U45" s="37"/>
      <c r="V45" s="37"/>
      <c r="W45" s="114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218"/>
      <c r="BE45" s="37"/>
      <c r="BF45" s="37"/>
      <c r="BG45" s="37"/>
      <c r="BH45" s="37"/>
      <c r="BI45" s="37"/>
      <c r="BJ45" s="37"/>
      <c r="BK45" s="37"/>
      <c r="BL45" s="114"/>
      <c r="BM45" s="37"/>
    </row>
    <row r="46" spans="2:65" s="127" customFormat="1" ht="25.5" customHeight="1">
      <c r="B46" s="115"/>
      <c r="C46" s="43"/>
      <c r="D46" s="37"/>
      <c r="E46" s="37"/>
      <c r="F46" s="37"/>
      <c r="G46" s="37"/>
      <c r="H46" s="119"/>
      <c r="I46" s="119"/>
      <c r="J46" s="43"/>
      <c r="K46" s="119"/>
      <c r="L46" s="119"/>
      <c r="M46" s="119"/>
      <c r="N46" s="119"/>
      <c r="O46" s="119"/>
      <c r="P46" s="119"/>
      <c r="Q46" s="119"/>
      <c r="R46" s="115"/>
      <c r="S46" s="37"/>
      <c r="T46" s="37"/>
      <c r="U46" s="37"/>
      <c r="V46" s="37"/>
      <c r="W46" s="114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218"/>
      <c r="BE46" s="37"/>
      <c r="BF46" s="37"/>
      <c r="BG46" s="37"/>
      <c r="BH46" s="37"/>
      <c r="BI46" s="37"/>
      <c r="BJ46" s="37"/>
      <c r="BK46" s="37"/>
      <c r="BL46" s="114"/>
      <c r="BM46" s="37"/>
    </row>
    <row r="47" spans="2:65" s="127" customFormat="1" ht="25.5" customHeight="1">
      <c r="B47" s="115"/>
      <c r="C47" s="43"/>
      <c r="D47" s="37"/>
      <c r="E47" s="37"/>
      <c r="F47" s="37"/>
      <c r="G47" s="37"/>
      <c r="H47" s="119"/>
      <c r="I47" s="119"/>
      <c r="J47" s="43"/>
      <c r="K47" s="119"/>
      <c r="L47" s="119"/>
      <c r="M47" s="119"/>
      <c r="N47" s="119"/>
      <c r="O47" s="119"/>
      <c r="P47" s="119"/>
      <c r="Q47" s="119"/>
      <c r="R47" s="115"/>
      <c r="S47" s="37"/>
      <c r="T47" s="37"/>
      <c r="U47" s="37"/>
      <c r="V47" s="37"/>
      <c r="W47" s="114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218"/>
      <c r="BE47" s="37"/>
      <c r="BF47" s="37"/>
      <c r="BG47" s="37"/>
      <c r="BH47" s="37"/>
      <c r="BI47" s="37"/>
      <c r="BJ47" s="37"/>
      <c r="BK47" s="37"/>
      <c r="BL47" s="114"/>
      <c r="BM47" s="37"/>
    </row>
    <row r="48" spans="2:65" s="127" customFormat="1" ht="25.5" customHeight="1">
      <c r="B48" s="115"/>
      <c r="C48" s="43"/>
      <c r="D48" s="37"/>
      <c r="E48" s="37"/>
      <c r="F48" s="37"/>
      <c r="G48" s="37"/>
      <c r="H48" s="119"/>
      <c r="I48" s="119"/>
      <c r="J48" s="43"/>
      <c r="K48" s="119"/>
      <c r="L48" s="119"/>
      <c r="M48" s="119"/>
      <c r="N48" s="119"/>
      <c r="O48" s="119"/>
      <c r="P48" s="119"/>
      <c r="Q48" s="119"/>
      <c r="R48" s="115"/>
      <c r="S48" s="37"/>
      <c r="T48" s="37"/>
      <c r="U48" s="37"/>
      <c r="V48" s="37"/>
      <c r="W48" s="114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218"/>
      <c r="BE48" s="37"/>
      <c r="BF48" s="37"/>
      <c r="BG48" s="37"/>
      <c r="BH48" s="37"/>
      <c r="BI48" s="37"/>
      <c r="BJ48" s="37"/>
      <c r="BK48" s="37"/>
      <c r="BL48" s="114"/>
      <c r="BM48" s="37"/>
    </row>
    <row r="49" spans="2:65" s="127" customFormat="1" ht="25.5" customHeight="1">
      <c r="B49" s="115"/>
      <c r="C49" s="43"/>
      <c r="D49" s="37"/>
      <c r="E49" s="37"/>
      <c r="F49" s="37"/>
      <c r="G49" s="37"/>
      <c r="H49" s="119"/>
      <c r="I49" s="119"/>
      <c r="J49" s="43"/>
      <c r="K49" s="119"/>
      <c r="L49" s="119"/>
      <c r="M49" s="119"/>
      <c r="N49" s="119"/>
      <c r="O49" s="119"/>
      <c r="P49" s="119"/>
      <c r="Q49" s="119"/>
      <c r="R49" s="115"/>
      <c r="S49" s="37"/>
      <c r="T49" s="37"/>
      <c r="U49" s="37"/>
      <c r="V49" s="37"/>
      <c r="W49" s="114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218"/>
      <c r="BE49" s="37"/>
      <c r="BF49" s="37"/>
      <c r="BG49" s="37"/>
      <c r="BH49" s="37"/>
      <c r="BI49" s="37"/>
      <c r="BJ49" s="37"/>
      <c r="BK49" s="37"/>
      <c r="BL49" s="114"/>
      <c r="BM49" s="37"/>
    </row>
    <row r="50" spans="2:65" s="127" customFormat="1" ht="25.5" customHeight="1">
      <c r="B50" s="115"/>
      <c r="C50" s="43"/>
      <c r="D50" s="37"/>
      <c r="E50" s="37"/>
      <c r="F50" s="37"/>
      <c r="G50" s="37"/>
      <c r="H50" s="119"/>
      <c r="I50" s="119"/>
      <c r="J50" s="43"/>
      <c r="K50" s="119"/>
      <c r="L50" s="119"/>
      <c r="M50" s="119"/>
      <c r="N50" s="119"/>
      <c r="O50" s="119"/>
      <c r="P50" s="119"/>
      <c r="Q50" s="119"/>
      <c r="R50" s="115"/>
      <c r="S50" s="37"/>
      <c r="T50" s="37"/>
      <c r="U50" s="37"/>
      <c r="V50" s="37"/>
      <c r="W50" s="114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218"/>
      <c r="BE50" s="37"/>
      <c r="BF50" s="37"/>
      <c r="BG50" s="37"/>
      <c r="BH50" s="37"/>
      <c r="BI50" s="37"/>
      <c r="BJ50" s="37"/>
      <c r="BK50" s="37"/>
      <c r="BL50" s="114"/>
      <c r="BM50" s="37"/>
    </row>
    <row r="51" spans="2:65" s="127" customFormat="1" ht="25.5" customHeight="1">
      <c r="B51" s="115"/>
      <c r="C51" s="43"/>
      <c r="D51" s="37"/>
      <c r="E51" s="37"/>
      <c r="F51" s="37"/>
      <c r="G51" s="37"/>
      <c r="H51" s="119"/>
      <c r="I51" s="119"/>
      <c r="J51" s="43"/>
      <c r="K51" s="119"/>
      <c r="L51" s="119"/>
      <c r="M51" s="119"/>
      <c r="N51" s="119"/>
      <c r="O51" s="119"/>
      <c r="P51" s="119"/>
      <c r="Q51" s="119"/>
      <c r="R51" s="115"/>
      <c r="S51" s="37"/>
      <c r="T51" s="37"/>
      <c r="U51" s="37"/>
      <c r="V51" s="37"/>
      <c r="W51" s="114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218"/>
      <c r="BE51" s="37"/>
      <c r="BF51" s="37"/>
      <c r="BG51" s="37"/>
      <c r="BH51" s="37"/>
      <c r="BI51" s="37"/>
      <c r="BJ51" s="37"/>
      <c r="BK51" s="37"/>
      <c r="BL51" s="114"/>
      <c r="BM51" s="37"/>
    </row>
    <row r="52" spans="2:65" s="127" customFormat="1" ht="25.5" customHeight="1">
      <c r="B52" s="115"/>
      <c r="C52" s="43"/>
      <c r="D52" s="37"/>
      <c r="E52" s="37"/>
      <c r="F52" s="37"/>
      <c r="G52" s="37"/>
      <c r="H52" s="119"/>
      <c r="I52" s="119"/>
      <c r="J52" s="43"/>
      <c r="K52" s="119"/>
      <c r="L52" s="119"/>
      <c r="M52" s="119"/>
      <c r="N52" s="119"/>
      <c r="O52" s="119"/>
      <c r="P52" s="119"/>
      <c r="Q52" s="119"/>
      <c r="R52" s="115"/>
      <c r="S52" s="37"/>
      <c r="T52" s="37"/>
      <c r="U52" s="37"/>
      <c r="V52" s="37"/>
      <c r="W52" s="114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218"/>
      <c r="BE52" s="37"/>
      <c r="BF52" s="37"/>
      <c r="BG52" s="37"/>
      <c r="BH52" s="37"/>
      <c r="BI52" s="37"/>
      <c r="BJ52" s="37"/>
      <c r="BK52" s="37"/>
      <c r="BL52" s="114"/>
      <c r="BM52" s="37"/>
    </row>
    <row r="53" spans="2:65" s="127" customFormat="1" ht="25.5" customHeight="1">
      <c r="B53" s="115"/>
      <c r="C53" s="43"/>
      <c r="D53" s="37"/>
      <c r="E53" s="37"/>
      <c r="F53" s="37"/>
      <c r="G53" s="37"/>
      <c r="H53" s="119"/>
      <c r="I53" s="119"/>
      <c r="J53" s="43"/>
      <c r="K53" s="119"/>
      <c r="L53" s="119"/>
      <c r="M53" s="119"/>
      <c r="N53" s="119"/>
      <c r="O53" s="119"/>
      <c r="P53" s="119"/>
      <c r="Q53" s="119"/>
      <c r="R53" s="115"/>
      <c r="S53" s="37"/>
      <c r="T53" s="37"/>
      <c r="U53" s="37"/>
      <c r="V53" s="37"/>
      <c r="W53" s="114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218"/>
      <c r="BE53" s="37"/>
      <c r="BF53" s="37"/>
      <c r="BG53" s="37"/>
      <c r="BH53" s="37"/>
      <c r="BI53" s="37"/>
      <c r="BJ53" s="37"/>
      <c r="BK53" s="37"/>
      <c r="BL53" s="114"/>
      <c r="BM53" s="37"/>
    </row>
    <row r="54" spans="2:65" s="127" customFormat="1" ht="25.5" customHeight="1">
      <c r="B54" s="115"/>
      <c r="C54" s="43"/>
      <c r="D54" s="37"/>
      <c r="E54" s="37"/>
      <c r="F54" s="37"/>
      <c r="G54" s="37"/>
      <c r="H54" s="119"/>
      <c r="I54" s="119"/>
      <c r="J54" s="43"/>
      <c r="K54" s="119"/>
      <c r="L54" s="119"/>
      <c r="M54" s="119"/>
      <c r="N54" s="119"/>
      <c r="O54" s="119"/>
      <c r="P54" s="119"/>
      <c r="Q54" s="119"/>
      <c r="R54" s="115"/>
      <c r="S54" s="37"/>
      <c r="T54" s="37"/>
      <c r="U54" s="37"/>
      <c r="V54" s="37"/>
      <c r="W54" s="114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218"/>
      <c r="BE54" s="37"/>
      <c r="BF54" s="37"/>
      <c r="BG54" s="37"/>
      <c r="BH54" s="37"/>
      <c r="BI54" s="37"/>
      <c r="BJ54" s="37"/>
      <c r="BK54" s="37"/>
      <c r="BL54" s="114"/>
      <c r="BM54" s="37"/>
    </row>
    <row r="55" spans="2:65" s="127" customFormat="1" ht="25.5" customHeight="1">
      <c r="B55" s="115"/>
      <c r="C55" s="43"/>
      <c r="D55" s="37"/>
      <c r="E55" s="37"/>
      <c r="F55" s="37"/>
      <c r="G55" s="37"/>
      <c r="H55" s="119"/>
      <c r="I55" s="119"/>
      <c r="J55" s="43"/>
      <c r="K55" s="119"/>
      <c r="L55" s="119"/>
      <c r="M55" s="119"/>
      <c r="N55" s="119"/>
      <c r="O55" s="119"/>
      <c r="P55" s="119"/>
      <c r="Q55" s="119"/>
      <c r="R55" s="115"/>
      <c r="S55" s="37"/>
      <c r="T55" s="37"/>
      <c r="U55" s="37"/>
      <c r="V55" s="37"/>
      <c r="W55" s="114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218"/>
      <c r="BE55" s="37"/>
      <c r="BF55" s="37"/>
      <c r="BG55" s="37"/>
      <c r="BH55" s="37"/>
      <c r="BI55" s="37"/>
      <c r="BJ55" s="37"/>
      <c r="BK55" s="37"/>
      <c r="BL55" s="114"/>
      <c r="BM55" s="37"/>
    </row>
    <row r="56" spans="2:65" s="127" customFormat="1" ht="25.5" customHeight="1">
      <c r="B56" s="115"/>
      <c r="C56" s="43"/>
      <c r="D56" s="37"/>
      <c r="E56" s="37"/>
      <c r="F56" s="37"/>
      <c r="G56" s="37"/>
      <c r="H56" s="119"/>
      <c r="I56" s="119"/>
      <c r="J56" s="43"/>
      <c r="K56" s="119"/>
      <c r="L56" s="119"/>
      <c r="M56" s="119"/>
      <c r="N56" s="119"/>
      <c r="O56" s="119"/>
      <c r="P56" s="119"/>
      <c r="Q56" s="119"/>
      <c r="R56" s="115"/>
      <c r="S56" s="37"/>
      <c r="T56" s="37"/>
      <c r="U56" s="37"/>
      <c r="V56" s="37"/>
      <c r="W56" s="114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218"/>
      <c r="BE56" s="37"/>
      <c r="BF56" s="37"/>
      <c r="BG56" s="37"/>
      <c r="BH56" s="37"/>
      <c r="BI56" s="37"/>
      <c r="BJ56" s="37"/>
      <c r="BK56" s="37"/>
      <c r="BL56" s="114"/>
      <c r="BM56" s="37"/>
    </row>
    <row r="57" spans="2:65" s="127" customFormat="1" ht="25.5" customHeight="1">
      <c r="B57" s="115"/>
      <c r="C57" s="43"/>
      <c r="D57" s="37"/>
      <c r="E57" s="37"/>
      <c r="F57" s="37"/>
      <c r="G57" s="37"/>
      <c r="H57" s="119"/>
      <c r="I57" s="119"/>
      <c r="J57" s="43"/>
      <c r="K57" s="119"/>
      <c r="L57" s="119"/>
      <c r="M57" s="119"/>
      <c r="N57" s="119"/>
      <c r="O57" s="119"/>
      <c r="P57" s="119"/>
      <c r="Q57" s="119"/>
      <c r="R57" s="115"/>
      <c r="S57" s="37"/>
      <c r="T57" s="37"/>
      <c r="U57" s="37"/>
      <c r="V57" s="37"/>
      <c r="W57" s="114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218"/>
      <c r="BE57" s="37"/>
      <c r="BF57" s="37"/>
      <c r="BG57" s="37"/>
      <c r="BH57" s="37"/>
      <c r="BI57" s="37"/>
      <c r="BJ57" s="37"/>
      <c r="BK57" s="37"/>
      <c r="BL57" s="114"/>
      <c r="BM57" s="37"/>
    </row>
    <row r="58" spans="2:65" s="127" customFormat="1" ht="25.5" customHeight="1">
      <c r="B58" s="115"/>
      <c r="C58" s="43"/>
      <c r="D58" s="37"/>
      <c r="E58" s="37"/>
      <c r="F58" s="37"/>
      <c r="G58" s="37"/>
      <c r="H58" s="119"/>
      <c r="I58" s="119"/>
      <c r="J58" s="43"/>
      <c r="K58" s="119"/>
      <c r="L58" s="119"/>
      <c r="M58" s="119"/>
      <c r="N58" s="119"/>
      <c r="O58" s="119"/>
      <c r="P58" s="119"/>
      <c r="Q58" s="119"/>
      <c r="R58" s="115"/>
      <c r="S58" s="37"/>
      <c r="T58" s="37"/>
      <c r="U58" s="37"/>
      <c r="V58" s="37"/>
      <c r="W58" s="114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218"/>
      <c r="BE58" s="37"/>
      <c r="BF58" s="37"/>
      <c r="BG58" s="37"/>
      <c r="BH58" s="37"/>
      <c r="BI58" s="37"/>
      <c r="BJ58" s="37"/>
      <c r="BK58" s="37"/>
      <c r="BL58" s="114"/>
      <c r="BM58" s="37"/>
    </row>
    <row r="59" spans="2:65" s="127" customFormat="1" ht="25.5" customHeight="1">
      <c r="B59" s="115"/>
      <c r="C59" s="43"/>
      <c r="D59" s="37"/>
      <c r="E59" s="37"/>
      <c r="F59" s="37"/>
      <c r="G59" s="37"/>
      <c r="H59" s="119"/>
      <c r="I59" s="119"/>
      <c r="J59" s="43"/>
      <c r="K59" s="119"/>
      <c r="L59" s="119"/>
      <c r="M59" s="119"/>
      <c r="N59" s="119"/>
      <c r="O59" s="119"/>
      <c r="P59" s="119"/>
      <c r="Q59" s="119"/>
      <c r="R59" s="115"/>
      <c r="S59" s="37"/>
      <c r="T59" s="37"/>
      <c r="U59" s="37"/>
      <c r="V59" s="37"/>
      <c r="W59" s="114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218"/>
      <c r="BE59" s="37"/>
      <c r="BF59" s="37"/>
      <c r="BG59" s="37"/>
      <c r="BH59" s="37"/>
      <c r="BI59" s="37"/>
      <c r="BJ59" s="37"/>
      <c r="BK59" s="37"/>
      <c r="BL59" s="114"/>
      <c r="BM59" s="37"/>
    </row>
    <row r="60" spans="2:65" s="127" customFormat="1" ht="25.5" customHeight="1">
      <c r="B60" s="115"/>
      <c r="C60" s="43"/>
      <c r="D60" s="37"/>
      <c r="E60" s="37"/>
      <c r="F60" s="37"/>
      <c r="G60" s="37"/>
      <c r="H60" s="119"/>
      <c r="I60" s="119"/>
      <c r="J60" s="43"/>
      <c r="K60" s="119"/>
      <c r="L60" s="119"/>
      <c r="M60" s="119"/>
      <c r="N60" s="119"/>
      <c r="O60" s="119"/>
      <c r="P60" s="119"/>
      <c r="Q60" s="119"/>
      <c r="R60" s="115"/>
      <c r="S60" s="37"/>
      <c r="T60" s="37"/>
      <c r="U60" s="37"/>
      <c r="V60" s="37"/>
      <c r="W60" s="114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218"/>
      <c r="BE60" s="37"/>
      <c r="BF60" s="37"/>
      <c r="BG60" s="37"/>
      <c r="BH60" s="37"/>
      <c r="BI60" s="37"/>
      <c r="BJ60" s="37"/>
      <c r="BK60" s="37"/>
      <c r="BL60" s="114"/>
      <c r="BM60" s="37"/>
    </row>
    <row r="61" spans="2:65" s="127" customFormat="1" ht="25.5" customHeight="1">
      <c r="B61" s="115"/>
      <c r="C61" s="43"/>
      <c r="D61" s="37"/>
      <c r="E61" s="37"/>
      <c r="F61" s="37"/>
      <c r="G61" s="37"/>
      <c r="H61" s="119"/>
      <c r="I61" s="119"/>
      <c r="J61" s="43"/>
      <c r="K61" s="119"/>
      <c r="L61" s="119"/>
      <c r="M61" s="119"/>
      <c r="N61" s="119"/>
      <c r="O61" s="119"/>
      <c r="P61" s="119"/>
      <c r="Q61" s="119"/>
      <c r="R61" s="115"/>
      <c r="S61" s="37"/>
      <c r="T61" s="37"/>
      <c r="U61" s="37"/>
      <c r="V61" s="37"/>
      <c r="W61" s="114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218"/>
      <c r="BE61" s="37"/>
      <c r="BF61" s="37"/>
      <c r="BG61" s="37"/>
      <c r="BH61" s="37"/>
      <c r="BI61" s="37"/>
      <c r="BJ61" s="37"/>
      <c r="BK61" s="37"/>
      <c r="BL61" s="114"/>
      <c r="BM61" s="37"/>
    </row>
    <row r="62" spans="2:65" s="127" customFormat="1" ht="25.5" customHeight="1">
      <c r="B62" s="115"/>
      <c r="C62" s="43"/>
      <c r="D62" s="37"/>
      <c r="E62" s="37"/>
      <c r="F62" s="37"/>
      <c r="G62" s="37"/>
      <c r="H62" s="119"/>
      <c r="I62" s="119"/>
      <c r="J62" s="43"/>
      <c r="K62" s="119"/>
      <c r="L62" s="119"/>
      <c r="M62" s="119"/>
      <c r="N62" s="119"/>
      <c r="O62" s="119"/>
      <c r="P62" s="119"/>
      <c r="Q62" s="119"/>
      <c r="R62" s="115"/>
      <c r="S62" s="37"/>
      <c r="T62" s="37"/>
      <c r="U62" s="37"/>
      <c r="V62" s="37"/>
      <c r="W62" s="114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218"/>
      <c r="BE62" s="37"/>
      <c r="BF62" s="37"/>
      <c r="BG62" s="37"/>
      <c r="BH62" s="37"/>
      <c r="BI62" s="37"/>
      <c r="BJ62" s="37"/>
      <c r="BK62" s="37"/>
      <c r="BL62" s="114"/>
      <c r="BM62" s="37"/>
    </row>
    <row r="63" spans="2:65" s="127" customFormat="1" ht="25.5" customHeight="1">
      <c r="B63" s="115"/>
      <c r="C63" s="43"/>
      <c r="D63" s="37"/>
      <c r="E63" s="37"/>
      <c r="F63" s="37"/>
      <c r="G63" s="37"/>
      <c r="H63" s="119"/>
      <c r="I63" s="119"/>
      <c r="J63" s="43"/>
      <c r="K63" s="119"/>
      <c r="L63" s="119"/>
      <c r="M63" s="119"/>
      <c r="N63" s="119"/>
      <c r="O63" s="119"/>
      <c r="P63" s="119"/>
      <c r="Q63" s="119"/>
      <c r="R63" s="115"/>
      <c r="S63" s="37"/>
      <c r="T63" s="37"/>
      <c r="U63" s="37"/>
      <c r="V63" s="37"/>
      <c r="W63" s="114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218"/>
      <c r="BE63" s="37"/>
      <c r="BF63" s="37"/>
      <c r="BG63" s="37"/>
      <c r="BH63" s="37"/>
      <c r="BI63" s="37"/>
      <c r="BJ63" s="37"/>
      <c r="BK63" s="37"/>
      <c r="BL63" s="114"/>
      <c r="BM63" s="37"/>
    </row>
    <row r="64" spans="2:65" s="127" customFormat="1" ht="25.5" customHeight="1">
      <c r="B64" s="115"/>
      <c r="C64" s="43"/>
      <c r="D64" s="37"/>
      <c r="E64" s="37"/>
      <c r="F64" s="37"/>
      <c r="G64" s="37"/>
      <c r="H64" s="119"/>
      <c r="I64" s="119"/>
      <c r="J64" s="43"/>
      <c r="K64" s="119"/>
      <c r="L64" s="119"/>
      <c r="M64" s="119"/>
      <c r="N64" s="119"/>
      <c r="O64" s="119"/>
      <c r="P64" s="119"/>
      <c r="Q64" s="119"/>
      <c r="R64" s="115"/>
      <c r="S64" s="37"/>
      <c r="T64" s="37"/>
      <c r="U64" s="37"/>
      <c r="V64" s="37"/>
      <c r="W64" s="114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218"/>
      <c r="BE64" s="37"/>
      <c r="BF64" s="37"/>
      <c r="BG64" s="37"/>
      <c r="BH64" s="37"/>
      <c r="BI64" s="37"/>
      <c r="BJ64" s="37"/>
      <c r="BK64" s="37"/>
      <c r="BL64" s="114"/>
      <c r="BM64" s="37"/>
    </row>
    <row r="65" spans="2:65" s="127" customFormat="1" ht="25.5" customHeight="1">
      <c r="B65" s="115"/>
      <c r="C65" s="43"/>
      <c r="D65" s="37"/>
      <c r="E65" s="37"/>
      <c r="F65" s="37"/>
      <c r="G65" s="37"/>
      <c r="H65" s="119"/>
      <c r="I65" s="119"/>
      <c r="J65" s="43"/>
      <c r="K65" s="119"/>
      <c r="L65" s="119"/>
      <c r="M65" s="119"/>
      <c r="N65" s="119"/>
      <c r="O65" s="119"/>
      <c r="P65" s="119"/>
      <c r="Q65" s="119"/>
      <c r="R65" s="115"/>
      <c r="S65" s="37"/>
      <c r="T65" s="37"/>
      <c r="U65" s="37"/>
      <c r="V65" s="37"/>
      <c r="W65" s="114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218"/>
      <c r="BE65" s="37"/>
      <c r="BF65" s="37"/>
      <c r="BG65" s="37"/>
      <c r="BH65" s="37"/>
      <c r="BI65" s="37"/>
      <c r="BJ65" s="37"/>
      <c r="BK65" s="37"/>
      <c r="BL65" s="114"/>
      <c r="BM65" s="37"/>
    </row>
    <row r="66" spans="2:65" s="127" customFormat="1" ht="25.5" customHeight="1">
      <c r="B66" s="115"/>
      <c r="C66" s="43"/>
      <c r="D66" s="37"/>
      <c r="E66" s="37"/>
      <c r="F66" s="37"/>
      <c r="G66" s="37"/>
      <c r="H66" s="119"/>
      <c r="I66" s="119"/>
      <c r="J66" s="43"/>
      <c r="K66" s="119"/>
      <c r="L66" s="119"/>
      <c r="M66" s="119"/>
      <c r="N66" s="119"/>
      <c r="O66" s="119"/>
      <c r="P66" s="119"/>
      <c r="Q66" s="119"/>
      <c r="R66" s="115"/>
      <c r="S66" s="37"/>
      <c r="T66" s="37"/>
      <c r="U66" s="37"/>
      <c r="V66" s="37"/>
      <c r="W66" s="114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218"/>
      <c r="BE66" s="37"/>
      <c r="BF66" s="37"/>
      <c r="BG66" s="37"/>
      <c r="BH66" s="37"/>
      <c r="BI66" s="37"/>
      <c r="BJ66" s="37"/>
      <c r="BK66" s="37"/>
      <c r="BL66" s="114"/>
      <c r="BM66" s="37"/>
    </row>
    <row r="67" spans="2:65" s="127" customFormat="1" ht="25.5" customHeight="1">
      <c r="B67" s="115"/>
      <c r="C67" s="43"/>
      <c r="D67" s="37"/>
      <c r="E67" s="37"/>
      <c r="F67" s="37"/>
      <c r="G67" s="37"/>
      <c r="H67" s="119"/>
      <c r="I67" s="119"/>
      <c r="J67" s="43"/>
      <c r="K67" s="119"/>
      <c r="L67" s="119"/>
      <c r="M67" s="119"/>
      <c r="N67" s="119"/>
      <c r="O67" s="119"/>
      <c r="P67" s="119"/>
      <c r="Q67" s="119"/>
      <c r="R67" s="115"/>
      <c r="S67" s="37"/>
      <c r="T67" s="37"/>
      <c r="U67" s="37"/>
      <c r="V67" s="37"/>
      <c r="W67" s="114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218"/>
      <c r="BE67" s="37"/>
      <c r="BF67" s="37"/>
      <c r="BG67" s="37"/>
      <c r="BH67" s="37"/>
      <c r="BI67" s="37"/>
      <c r="BJ67" s="37"/>
      <c r="BK67" s="37"/>
      <c r="BL67" s="114"/>
      <c r="BM67" s="37"/>
    </row>
    <row r="68" spans="2:65" s="127" customFormat="1" ht="25.5" customHeight="1">
      <c r="B68" s="115"/>
      <c r="C68" s="43"/>
      <c r="D68" s="37"/>
      <c r="E68" s="37"/>
      <c r="F68" s="37"/>
      <c r="G68" s="37"/>
      <c r="H68" s="119"/>
      <c r="I68" s="119"/>
      <c r="J68" s="43"/>
      <c r="K68" s="119"/>
      <c r="L68" s="119"/>
      <c r="M68" s="119"/>
      <c r="N68" s="119"/>
      <c r="O68" s="119"/>
      <c r="P68" s="119"/>
      <c r="Q68" s="119"/>
      <c r="R68" s="115"/>
      <c r="S68" s="37"/>
      <c r="T68" s="37"/>
      <c r="U68" s="37"/>
      <c r="V68" s="37"/>
      <c r="W68" s="114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218"/>
      <c r="BE68" s="37"/>
      <c r="BF68" s="37"/>
      <c r="BG68" s="37"/>
      <c r="BH68" s="37"/>
      <c r="BI68" s="37"/>
      <c r="BJ68" s="37"/>
      <c r="BK68" s="37"/>
      <c r="BL68" s="114"/>
      <c r="BM68" s="37"/>
    </row>
    <row r="69" spans="2:65" s="127" customFormat="1" ht="25.5" customHeight="1">
      <c r="B69" s="115"/>
      <c r="C69" s="43"/>
      <c r="D69" s="37"/>
      <c r="E69" s="37"/>
      <c r="F69" s="37"/>
      <c r="G69" s="37"/>
      <c r="H69" s="119"/>
      <c r="I69" s="119"/>
      <c r="J69" s="43"/>
      <c r="K69" s="119"/>
      <c r="L69" s="119"/>
      <c r="M69" s="119"/>
      <c r="N69" s="119"/>
      <c r="O69" s="119"/>
      <c r="P69" s="119"/>
      <c r="Q69" s="119"/>
      <c r="R69" s="115"/>
      <c r="S69" s="37"/>
      <c r="T69" s="37"/>
      <c r="U69" s="37"/>
      <c r="V69" s="37"/>
      <c r="W69" s="114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218"/>
      <c r="BE69" s="37"/>
      <c r="BF69" s="37"/>
      <c r="BG69" s="37"/>
      <c r="BH69" s="37"/>
      <c r="BI69" s="37"/>
      <c r="BJ69" s="37"/>
      <c r="BK69" s="37"/>
      <c r="BL69" s="114"/>
      <c r="BM69" s="37"/>
    </row>
  </sheetData>
  <sheetProtection/>
  <mergeCells count="6">
    <mergeCell ref="AT24:AU24"/>
    <mergeCell ref="AN24:AO24"/>
    <mergeCell ref="P22:Q22"/>
    <mergeCell ref="L23:M23"/>
    <mergeCell ref="AA27:AB27"/>
    <mergeCell ref="AC22:AD22"/>
  </mergeCells>
  <printOptions/>
  <pageMargins left="0.16" right="0.16" top="0.27" bottom="0.21" header="0.17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28"/>
  <sheetViews>
    <sheetView tabSelected="1" workbookViewId="0" topLeftCell="A1">
      <pane xSplit="20055" topLeftCell="BC1" activePane="topLeft" state="split"/>
      <selection pane="topLeft" activeCell="BK1" sqref="BK1"/>
      <selection pane="topRight" activeCell="BC4" sqref="BC1:BC16384"/>
    </sheetView>
  </sheetViews>
  <sheetFormatPr defaultColWidth="9.00390625" defaultRowHeight="25.5" customHeight="1"/>
  <cols>
    <col min="1" max="1" width="2.875" style="1" customWidth="1"/>
    <col min="2" max="2" width="24.375" style="8" customWidth="1"/>
    <col min="3" max="3" width="11.875" style="27" hidden="1" customWidth="1"/>
    <col min="4" max="8" width="10.375" style="2" hidden="1" customWidth="1"/>
    <col min="9" max="9" width="9.50390625" style="2" hidden="1" customWidth="1"/>
    <col min="10" max="10" width="9.75390625" style="2" hidden="1" customWidth="1"/>
    <col min="11" max="11" width="9.125" style="2" hidden="1" customWidth="1"/>
    <col min="12" max="12" width="7.75390625" style="77" hidden="1" customWidth="1"/>
    <col min="13" max="13" width="9.375" style="2" hidden="1" customWidth="1"/>
    <col min="14" max="14" width="10.75390625" style="2" hidden="1" customWidth="1"/>
    <col min="15" max="15" width="8.625" style="2" hidden="1" customWidth="1"/>
    <col min="16" max="16" width="10.00390625" style="2" hidden="1" customWidth="1"/>
    <col min="17" max="17" width="9.25390625" style="2" hidden="1" customWidth="1"/>
    <col min="18" max="18" width="9.875" style="1" customWidth="1"/>
    <col min="19" max="20" width="9.125" style="97" hidden="1" customWidth="1"/>
    <col min="21" max="21" width="9.25390625" style="97" hidden="1" customWidth="1"/>
    <col min="22" max="22" width="9.125" style="97" hidden="1" customWidth="1"/>
    <col min="23" max="24" width="9.125" style="2" hidden="1" customWidth="1"/>
    <col min="25" max="25" width="9.25390625" style="2" hidden="1" customWidth="1"/>
    <col min="26" max="26" width="9.125" style="2" hidden="1" customWidth="1"/>
    <col min="27" max="27" width="9.625" style="1" hidden="1" customWidth="1"/>
    <col min="28" max="28" width="9.50390625" style="29" hidden="1" customWidth="1"/>
    <col min="29" max="29" width="7.375" style="29" hidden="1" customWidth="1"/>
    <col min="30" max="30" width="9.875" style="1" customWidth="1"/>
    <col min="31" max="32" width="8.875" style="2" hidden="1" customWidth="1"/>
    <col min="33" max="33" width="8.00390625" style="2" hidden="1" customWidth="1"/>
    <col min="34" max="34" width="8.875" style="2" hidden="1" customWidth="1"/>
    <col min="35" max="35" width="8.375" style="2" hidden="1" customWidth="1"/>
    <col min="36" max="36" width="9.125" style="2" hidden="1" customWidth="1"/>
    <col min="37" max="37" width="8.375" style="2" hidden="1" customWidth="1"/>
    <col min="38" max="38" width="8.75390625" style="77" hidden="1" customWidth="1"/>
    <col min="39" max="39" width="8.375" style="77" hidden="1" customWidth="1"/>
    <col min="40" max="40" width="7.75390625" style="344" hidden="1" customWidth="1"/>
    <col min="41" max="41" width="0" style="2" hidden="1" customWidth="1"/>
    <col min="42" max="42" width="8.625" style="77" hidden="1" customWidth="1"/>
    <col min="43" max="43" width="8.25390625" style="77" hidden="1" customWidth="1"/>
    <col min="44" max="44" width="0" style="77" hidden="1" customWidth="1"/>
    <col min="45" max="45" width="7.75390625" style="77" hidden="1" customWidth="1"/>
    <col min="46" max="47" width="9.875" style="77" hidden="1" customWidth="1"/>
    <col min="48" max="48" width="8.375" style="77" hidden="1" customWidth="1"/>
    <col min="49" max="49" width="6.875" style="77" hidden="1" customWidth="1"/>
    <col min="50" max="50" width="11.625" style="21" customWidth="1"/>
    <col min="51" max="51" width="9.25390625" style="2" hidden="1" customWidth="1"/>
    <col min="52" max="52" width="8.00390625" style="2" hidden="1" customWidth="1"/>
    <col min="53" max="53" width="8.875" style="2" hidden="1" customWidth="1"/>
    <col min="54" max="54" width="6.75390625" style="2" hidden="1" customWidth="1"/>
    <col min="55" max="55" width="11.125" style="128" customWidth="1"/>
    <col min="56" max="56" width="8.00390625" style="2" customWidth="1"/>
    <col min="57" max="57" width="10.375" style="77" customWidth="1"/>
    <col min="58" max="58" width="11.50390625" style="77" customWidth="1"/>
    <col min="59" max="59" width="6.50390625" style="2" customWidth="1"/>
    <col min="60" max="60" width="10.875" style="2" customWidth="1"/>
    <col min="61" max="61" width="9.875" style="2" customWidth="1"/>
    <col min="62" max="62" width="11.375" style="136" customWidth="1"/>
    <col min="63" max="63" width="10.50390625" style="1" customWidth="1"/>
    <col min="64" max="64" width="0" style="1" hidden="1" customWidth="1"/>
    <col min="65" max="16384" width="9.00390625" style="1" customWidth="1"/>
  </cols>
  <sheetData>
    <row r="1" spans="1:63" s="3" customFormat="1" ht="31.5" customHeight="1">
      <c r="A1" s="12" t="s">
        <v>6</v>
      </c>
      <c r="B1" s="12"/>
      <c r="C1" s="26"/>
      <c r="D1" s="2"/>
      <c r="E1" s="2"/>
      <c r="F1" s="2"/>
      <c r="G1" s="2"/>
      <c r="H1" s="2"/>
      <c r="I1" s="2"/>
      <c r="J1" s="2"/>
      <c r="K1" s="2"/>
      <c r="L1" s="77"/>
      <c r="M1" s="2"/>
      <c r="N1" s="2"/>
      <c r="O1" s="2"/>
      <c r="P1" s="2"/>
      <c r="Q1" s="2"/>
      <c r="S1" s="96"/>
      <c r="T1" s="96"/>
      <c r="U1" s="96"/>
      <c r="V1" s="96"/>
      <c r="W1" s="13"/>
      <c r="X1" s="13"/>
      <c r="Y1" s="13"/>
      <c r="Z1" s="13"/>
      <c r="AB1" s="110"/>
      <c r="AC1" s="110"/>
      <c r="AE1" s="13"/>
      <c r="AF1" s="13"/>
      <c r="AG1" s="13"/>
      <c r="AH1" s="13"/>
      <c r="AI1" s="13"/>
      <c r="AJ1" s="13"/>
      <c r="AK1" s="13"/>
      <c r="AL1" s="128"/>
      <c r="AM1" s="128"/>
      <c r="AN1" s="343"/>
      <c r="AO1" s="13"/>
      <c r="AP1" s="128"/>
      <c r="AQ1" s="128"/>
      <c r="AR1" s="128"/>
      <c r="AS1" s="128"/>
      <c r="AT1" s="128"/>
      <c r="AU1" s="128"/>
      <c r="AV1" s="128"/>
      <c r="AW1" s="128"/>
      <c r="AX1" s="20"/>
      <c r="AY1" s="13"/>
      <c r="AZ1" s="13"/>
      <c r="BA1" s="13"/>
      <c r="BB1" s="13"/>
      <c r="BC1" s="128"/>
      <c r="BD1" s="13"/>
      <c r="BE1" s="128"/>
      <c r="BF1" s="128"/>
      <c r="BG1" s="13"/>
      <c r="BH1" s="13"/>
      <c r="BI1" s="13"/>
      <c r="BJ1" s="136"/>
      <c r="BK1" s="177" t="s">
        <v>38</v>
      </c>
    </row>
    <row r="2" ht="10.5" customHeight="1">
      <c r="A2" s="8"/>
    </row>
    <row r="3" spans="1:62" s="3" customFormat="1" ht="22.5" customHeight="1" thickBot="1">
      <c r="A3" s="12" t="s">
        <v>54</v>
      </c>
      <c r="C3" s="13"/>
      <c r="D3" s="2"/>
      <c r="E3" s="2"/>
      <c r="F3" s="2"/>
      <c r="G3" s="2"/>
      <c r="H3" s="2"/>
      <c r="I3" s="2"/>
      <c r="J3" s="2"/>
      <c r="K3" s="2"/>
      <c r="L3" s="77"/>
      <c r="M3" s="2"/>
      <c r="N3" s="2"/>
      <c r="O3" s="2"/>
      <c r="P3" s="2"/>
      <c r="Q3" s="2"/>
      <c r="S3" s="96"/>
      <c r="T3" s="96"/>
      <c r="U3" s="96"/>
      <c r="V3" s="96"/>
      <c r="W3" s="13"/>
      <c r="X3" s="13"/>
      <c r="Y3" s="13"/>
      <c r="Z3" s="13"/>
      <c r="AB3" s="110"/>
      <c r="AC3" s="110"/>
      <c r="AE3" s="13"/>
      <c r="AF3" s="199"/>
      <c r="AG3" s="13"/>
      <c r="AH3" s="13"/>
      <c r="AI3" s="13"/>
      <c r="AJ3" s="13"/>
      <c r="AK3" s="13"/>
      <c r="AL3" s="128"/>
      <c r="AM3" s="128"/>
      <c r="AN3" s="343"/>
      <c r="AO3" s="13"/>
      <c r="AP3" s="128"/>
      <c r="AQ3" s="128"/>
      <c r="AR3" s="128"/>
      <c r="AS3" s="128"/>
      <c r="AT3" s="128"/>
      <c r="AU3" s="128"/>
      <c r="AV3" s="128"/>
      <c r="AW3" s="128"/>
      <c r="AX3" s="20"/>
      <c r="AY3" s="13"/>
      <c r="AZ3" s="13"/>
      <c r="BA3" s="13"/>
      <c r="BB3" s="13"/>
      <c r="BC3" s="128"/>
      <c r="BD3" s="13"/>
      <c r="BE3" s="128"/>
      <c r="BF3" s="128"/>
      <c r="BG3" s="13"/>
      <c r="BH3" s="13"/>
      <c r="BI3" s="13"/>
      <c r="BJ3" s="217"/>
    </row>
    <row r="4" spans="1:64" s="9" customFormat="1" ht="74.25" thickBot="1">
      <c r="A4" s="122" t="s">
        <v>10</v>
      </c>
      <c r="B4" s="123" t="s">
        <v>0</v>
      </c>
      <c r="C4" s="240" t="s">
        <v>44</v>
      </c>
      <c r="D4" s="18" t="s">
        <v>45</v>
      </c>
      <c r="E4" s="38" t="s">
        <v>18</v>
      </c>
      <c r="F4" s="78" t="s">
        <v>46</v>
      </c>
      <c r="G4" s="163" t="s">
        <v>36</v>
      </c>
      <c r="H4" s="18" t="s">
        <v>47</v>
      </c>
      <c r="I4" s="164" t="s">
        <v>48</v>
      </c>
      <c r="J4" s="166" t="s">
        <v>49</v>
      </c>
      <c r="K4" s="38" t="s">
        <v>19</v>
      </c>
      <c r="L4" s="78" t="s">
        <v>50</v>
      </c>
      <c r="M4" s="19" t="s">
        <v>51</v>
      </c>
      <c r="N4" s="38" t="s">
        <v>32</v>
      </c>
      <c r="O4" s="78" t="s">
        <v>81</v>
      </c>
      <c r="P4" s="163" t="s">
        <v>76</v>
      </c>
      <c r="Q4" s="163" t="s">
        <v>77</v>
      </c>
      <c r="R4" s="256" t="s">
        <v>53</v>
      </c>
      <c r="S4" s="186" t="s">
        <v>67</v>
      </c>
      <c r="T4" s="179" t="s">
        <v>40</v>
      </c>
      <c r="U4" s="100" t="s">
        <v>33</v>
      </c>
      <c r="V4" s="78" t="s">
        <v>82</v>
      </c>
      <c r="W4" s="270" t="s">
        <v>68</v>
      </c>
      <c r="X4" s="100" t="s">
        <v>34</v>
      </c>
      <c r="Y4" s="211" t="s">
        <v>86</v>
      </c>
      <c r="Z4" s="272" t="s">
        <v>69</v>
      </c>
      <c r="AA4" s="112" t="s">
        <v>35</v>
      </c>
      <c r="AB4" s="211" t="s">
        <v>89</v>
      </c>
      <c r="AC4" s="78" t="s">
        <v>87</v>
      </c>
      <c r="AD4" s="256" t="s">
        <v>66</v>
      </c>
      <c r="AE4" s="320" t="s">
        <v>88</v>
      </c>
      <c r="AF4" s="112" t="s">
        <v>104</v>
      </c>
      <c r="AG4" s="211" t="s">
        <v>105</v>
      </c>
      <c r="AH4" s="352" t="s">
        <v>99</v>
      </c>
      <c r="AI4" s="320" t="s">
        <v>95</v>
      </c>
      <c r="AJ4" s="112" t="s">
        <v>116</v>
      </c>
      <c r="AK4" s="211" t="s">
        <v>117</v>
      </c>
      <c r="AL4" s="78" t="s">
        <v>113</v>
      </c>
      <c r="AM4" s="391" t="s">
        <v>118</v>
      </c>
      <c r="AN4" s="216" t="s">
        <v>96</v>
      </c>
      <c r="AO4" s="386" t="s">
        <v>120</v>
      </c>
      <c r="AP4" s="352" t="s">
        <v>125</v>
      </c>
      <c r="AQ4" s="410" t="s">
        <v>126</v>
      </c>
      <c r="AR4" s="410" t="s">
        <v>127</v>
      </c>
      <c r="AS4" s="410" t="s">
        <v>128</v>
      </c>
      <c r="AT4" s="411" t="s">
        <v>129</v>
      </c>
      <c r="AU4" s="112" t="s">
        <v>136</v>
      </c>
      <c r="AV4" s="211" t="s">
        <v>137</v>
      </c>
      <c r="AW4" s="78" t="s">
        <v>113</v>
      </c>
      <c r="AX4" s="425" t="s">
        <v>140</v>
      </c>
      <c r="AY4" s="320" t="s">
        <v>97</v>
      </c>
      <c r="AZ4" s="391" t="s">
        <v>138</v>
      </c>
      <c r="BA4" s="411" t="s">
        <v>130</v>
      </c>
      <c r="BB4" s="320" t="s">
        <v>98</v>
      </c>
      <c r="BC4" s="477" t="s">
        <v>139</v>
      </c>
      <c r="BD4" s="411" t="s">
        <v>151</v>
      </c>
      <c r="BE4" s="352" t="s">
        <v>147</v>
      </c>
      <c r="BF4" s="472" t="s">
        <v>148</v>
      </c>
      <c r="BG4" s="320" t="s">
        <v>101</v>
      </c>
      <c r="BH4" s="410" t="s">
        <v>149</v>
      </c>
      <c r="BI4" s="338" t="s">
        <v>150</v>
      </c>
      <c r="BJ4" s="377" t="s">
        <v>108</v>
      </c>
      <c r="BK4" s="362" t="s">
        <v>141</v>
      </c>
      <c r="BL4" s="123" t="s">
        <v>145</v>
      </c>
    </row>
    <row r="5" spans="1:64" s="5" customFormat="1" ht="30" customHeight="1">
      <c r="A5" s="57">
        <v>1</v>
      </c>
      <c r="B5" s="124" t="s">
        <v>26</v>
      </c>
      <c r="C5" s="241">
        <v>511053.14</v>
      </c>
      <c r="D5" s="25">
        <f>47305.53+4730.34+99.36</f>
        <v>52135.229999999996</v>
      </c>
      <c r="E5" s="40">
        <v>52135.23</v>
      </c>
      <c r="F5" s="24">
        <f>D5-E5</f>
        <v>0</v>
      </c>
      <c r="G5" s="24">
        <f>(C5+E5)/13</f>
        <v>43322.18230769231</v>
      </c>
      <c r="H5" s="25">
        <f>47305.53-4730.34</f>
        <v>42575.19</v>
      </c>
      <c r="I5" s="24">
        <f>G5*G16/100</f>
        <v>8879.004598272857</v>
      </c>
      <c r="J5" s="198">
        <f>H5+I5+1824.37</f>
        <v>53278.56459827286</v>
      </c>
      <c r="K5" s="39">
        <v>53278.56</v>
      </c>
      <c r="L5" s="24">
        <f>J5-K5</f>
        <v>0.004598272862494923</v>
      </c>
      <c r="M5" s="25">
        <f>47305.53-1824.37</f>
        <v>45481.159999999996</v>
      </c>
      <c r="N5" s="39">
        <v>39997.59</v>
      </c>
      <c r="O5" s="24">
        <f>M5-N5</f>
        <v>5483.57</v>
      </c>
      <c r="P5" s="24">
        <v>0</v>
      </c>
      <c r="Q5" s="24">
        <v>0</v>
      </c>
      <c r="R5" s="257">
        <f>E5+K5+N5</f>
        <v>145411.38</v>
      </c>
      <c r="S5" s="23">
        <v>55000</v>
      </c>
      <c r="T5" s="180">
        <f>Q5+S5+5499.42</f>
        <v>60499.42</v>
      </c>
      <c r="U5" s="106">
        <v>60499.42</v>
      </c>
      <c r="V5" s="23">
        <f>T5-U5</f>
        <v>0</v>
      </c>
      <c r="W5" s="91">
        <f>41869.86-5499.42+3316.14</f>
        <v>39686.58</v>
      </c>
      <c r="X5" s="85">
        <v>40004.25</v>
      </c>
      <c r="Y5" s="304">
        <f>W5-X5</f>
        <v>-317.66999999999825</v>
      </c>
      <c r="Z5" s="89">
        <f>48402.74-3316.14</f>
        <v>45086.6</v>
      </c>
      <c r="AA5" s="101">
        <v>46495.73</v>
      </c>
      <c r="AB5" s="304">
        <v>-1409.7</v>
      </c>
      <c r="AC5" s="89">
        <v>0.57</v>
      </c>
      <c r="AD5" s="257">
        <f>U5+X5+AA5</f>
        <v>146999.4</v>
      </c>
      <c r="AE5" s="321">
        <f>57611.63+5572.26</f>
        <v>63183.89</v>
      </c>
      <c r="AF5" s="371">
        <v>63792.37</v>
      </c>
      <c r="AG5" s="375">
        <f aca="true" t="shared" si="0" ref="AG5:AG11">AE5-AF5</f>
        <v>-608.4800000000032</v>
      </c>
      <c r="AH5" s="215">
        <v>117871.56</v>
      </c>
      <c r="AI5" s="321">
        <f>55000-5572.26+10445.02</f>
        <v>59872.759999999995</v>
      </c>
      <c r="AJ5" s="371">
        <v>60420.27</v>
      </c>
      <c r="AK5" s="375">
        <f aca="true" t="shared" si="1" ref="AK5:AK11">AI5-AJ5</f>
        <v>-547.510000000002</v>
      </c>
      <c r="AL5" s="392">
        <f>(R5+AD5+AF5+AJ5)/8</f>
        <v>52077.927500000005</v>
      </c>
      <c r="AM5" s="397">
        <f>AL5*AM16/100</f>
        <v>859.8729649410916</v>
      </c>
      <c r="AN5" s="213">
        <f>45000-10445.02</f>
        <v>34554.979999999996</v>
      </c>
      <c r="AO5" s="397">
        <f aca="true" t="shared" si="2" ref="AO5:AO11">AM5+AN5</f>
        <v>35414.852964941085</v>
      </c>
      <c r="AP5" s="215">
        <v>39673.07</v>
      </c>
      <c r="AQ5" s="321">
        <v>10000</v>
      </c>
      <c r="AR5" s="321">
        <v>29673.07</v>
      </c>
      <c r="AS5" s="321">
        <v>0</v>
      </c>
      <c r="AT5" s="412">
        <f>AO5+AQ5+394.52</f>
        <v>45809.37296494108</v>
      </c>
      <c r="AU5" s="371">
        <v>46093.4</v>
      </c>
      <c r="AV5" s="375">
        <f aca="true" t="shared" si="3" ref="AV5:AV11">AT5-AU5</f>
        <v>-284.02703505891986</v>
      </c>
      <c r="AW5" s="433">
        <f>(R5+AD5+AX5)/9</f>
        <v>51412.98000000001</v>
      </c>
      <c r="AX5" s="426">
        <f aca="true" t="shared" si="4" ref="AX5:AX11">AF5+AJ5+AU5</f>
        <v>170306.04</v>
      </c>
      <c r="AY5" s="321">
        <v>17871.56</v>
      </c>
      <c r="AZ5" s="321">
        <f>AW5*AW16/100</f>
        <v>159.09039953947774</v>
      </c>
      <c r="BA5" s="412">
        <f>AR5+AY5-394.52</f>
        <v>47150.11000000001</v>
      </c>
      <c r="BB5" s="321">
        <v>0</v>
      </c>
      <c r="BC5" s="445">
        <f aca="true" t="shared" si="5" ref="BC5:BC11">AZ5+BA5</f>
        <v>47309.200399539484</v>
      </c>
      <c r="BD5" s="412">
        <f aca="true" t="shared" si="6" ref="BD5:BD11">AS5+BB5</f>
        <v>0</v>
      </c>
      <c r="BE5" s="215">
        <v>25605.14</v>
      </c>
      <c r="BF5" s="473">
        <f>BE5</f>
        <v>25605.14</v>
      </c>
      <c r="BG5" s="321">
        <v>0</v>
      </c>
      <c r="BH5" s="321">
        <f>BG5</f>
        <v>0</v>
      </c>
      <c r="BI5" s="339">
        <f>BC5+BF5+BH5</f>
        <v>72914.34039953948</v>
      </c>
      <c r="BJ5" s="167">
        <f aca="true" t="shared" si="7" ref="BJ5:BJ11">R5+AD5+AX5+BI5</f>
        <v>535631.1603995395</v>
      </c>
      <c r="BK5" s="116">
        <f aca="true" t="shared" si="8" ref="BK5:BK11">R5+AD5+AX5</f>
        <v>462716.82000000007</v>
      </c>
      <c r="BL5" s="23">
        <f>AZ5</f>
        <v>159.09039953947774</v>
      </c>
    </row>
    <row r="6" spans="1:64" s="5" customFormat="1" ht="23.25" customHeight="1">
      <c r="A6" s="57">
        <v>2</v>
      </c>
      <c r="B6" s="124" t="s">
        <v>27</v>
      </c>
      <c r="C6" s="241">
        <v>232927.45</v>
      </c>
      <c r="D6" s="25">
        <v>41279.72</v>
      </c>
      <c r="E6" s="40">
        <v>26495.16</v>
      </c>
      <c r="F6" s="24">
        <f>D6-E6</f>
        <v>14784.560000000001</v>
      </c>
      <c r="G6" s="24">
        <v>0</v>
      </c>
      <c r="H6" s="25">
        <v>41279.72</v>
      </c>
      <c r="I6" s="24">
        <v>0</v>
      </c>
      <c r="J6" s="198">
        <f>H6+I6+3835.33</f>
        <v>45115.05</v>
      </c>
      <c r="K6" s="39">
        <v>45115.05</v>
      </c>
      <c r="L6" s="24">
        <f>J6-K6</f>
        <v>0</v>
      </c>
      <c r="M6" s="25">
        <f>41279.72-3835.33</f>
        <v>37444.39</v>
      </c>
      <c r="N6" s="39">
        <v>37443.9</v>
      </c>
      <c r="O6" s="24">
        <f>M6-N6</f>
        <v>0.48999999999796273</v>
      </c>
      <c r="P6" s="24">
        <f>R6/3</f>
        <v>36351.37</v>
      </c>
      <c r="Q6" s="24">
        <f>P6*O16/100</f>
        <v>879.0527058099931</v>
      </c>
      <c r="R6" s="257">
        <f>E6+K6+N6</f>
        <v>109054.11000000002</v>
      </c>
      <c r="S6" s="23">
        <v>42000</v>
      </c>
      <c r="T6" s="180">
        <f>Q6+S6</f>
        <v>42879.05270580999</v>
      </c>
      <c r="U6" s="106">
        <v>42876.9</v>
      </c>
      <c r="V6" s="23">
        <f>T6-U6</f>
        <v>2.152705809989129</v>
      </c>
      <c r="W6" s="91">
        <v>39678.75</v>
      </c>
      <c r="X6" s="85">
        <v>39605.61</v>
      </c>
      <c r="Y6" s="90">
        <f>W6-X6</f>
        <v>73.13999999999942</v>
      </c>
      <c r="Z6" s="89">
        <f>40812.23+1677.51</f>
        <v>42489.740000000005</v>
      </c>
      <c r="AA6" s="101">
        <v>42489.74</v>
      </c>
      <c r="AB6" s="90">
        <f>Z6-AA6</f>
        <v>0</v>
      </c>
      <c r="AC6" s="89"/>
      <c r="AD6" s="257">
        <f>U6+X6+AA6</f>
        <v>124972.25</v>
      </c>
      <c r="AE6" s="321">
        <f>48576.99-1677.51+169.13</f>
        <v>47068.60999999999</v>
      </c>
      <c r="AF6" s="371">
        <v>47068.61</v>
      </c>
      <c r="AG6" s="321">
        <f t="shared" si="0"/>
        <v>0</v>
      </c>
      <c r="AH6" s="215">
        <v>94765.3</v>
      </c>
      <c r="AI6" s="321">
        <f>40000-169.13</f>
        <v>39830.87</v>
      </c>
      <c r="AJ6" s="371">
        <v>37516.58</v>
      </c>
      <c r="AK6" s="392">
        <f t="shared" si="1"/>
        <v>2314.290000000001</v>
      </c>
      <c r="AL6" s="392"/>
      <c r="AM6" s="398">
        <v>0</v>
      </c>
      <c r="AN6" s="213">
        <v>30000</v>
      </c>
      <c r="AO6" s="397">
        <f t="shared" si="2"/>
        <v>30000</v>
      </c>
      <c r="AP6" s="215">
        <v>31713.45</v>
      </c>
      <c r="AQ6" s="321">
        <v>0</v>
      </c>
      <c r="AR6" s="321">
        <v>5000</v>
      </c>
      <c r="AS6" s="321">
        <v>26713.45</v>
      </c>
      <c r="AT6" s="412">
        <f>AO6+AQ6</f>
        <v>30000</v>
      </c>
      <c r="AU6" s="371">
        <v>29999.27</v>
      </c>
      <c r="AV6" s="321">
        <f t="shared" si="3"/>
        <v>0.7299999999995634</v>
      </c>
      <c r="AW6" s="433"/>
      <c r="AX6" s="426">
        <f t="shared" si="4"/>
        <v>114584.46</v>
      </c>
      <c r="AY6" s="321">
        <v>24765.3</v>
      </c>
      <c r="AZ6" s="321">
        <v>0</v>
      </c>
      <c r="BA6" s="412">
        <f>AR6+AY6</f>
        <v>29765.3</v>
      </c>
      <c r="BB6" s="321">
        <v>0</v>
      </c>
      <c r="BC6" s="445">
        <f t="shared" si="5"/>
        <v>29765.3</v>
      </c>
      <c r="BD6" s="412">
        <f t="shared" si="6"/>
        <v>26713.45</v>
      </c>
      <c r="BE6" s="215">
        <v>20159.74</v>
      </c>
      <c r="BF6" s="473">
        <f>BD6</f>
        <v>26713.45</v>
      </c>
      <c r="BG6" s="321">
        <v>0</v>
      </c>
      <c r="BH6" s="473">
        <f>BE6</f>
        <v>20159.74</v>
      </c>
      <c r="BI6" s="339">
        <f>BC6+BF6+BH6</f>
        <v>76638.49</v>
      </c>
      <c r="BJ6" s="167">
        <f t="shared" si="7"/>
        <v>425249.31</v>
      </c>
      <c r="BK6" s="116">
        <f t="shared" si="8"/>
        <v>348610.82</v>
      </c>
      <c r="BL6" s="89">
        <f>AZ6-AV6</f>
        <v>-0.7299999999995634</v>
      </c>
    </row>
    <row r="7" spans="1:64" s="5" customFormat="1" ht="22.5" customHeight="1">
      <c r="A7" s="57">
        <v>3</v>
      </c>
      <c r="B7" s="124" t="s">
        <v>28</v>
      </c>
      <c r="C7" s="241">
        <v>418382.16</v>
      </c>
      <c r="D7" s="25">
        <f>26198.01+2087.26</f>
        <v>28285.269999999997</v>
      </c>
      <c r="E7" s="40">
        <v>28285.27</v>
      </c>
      <c r="F7" s="24">
        <f>D7-E7</f>
        <v>0</v>
      </c>
      <c r="G7" s="24">
        <f>(C7+E7)/13</f>
        <v>34359.03307692308</v>
      </c>
      <c r="H7" s="25">
        <f>26198.01-2087.26</f>
        <v>24110.75</v>
      </c>
      <c r="I7" s="24">
        <f>G7*G16/100</f>
        <v>7041.981646156363</v>
      </c>
      <c r="J7" s="198">
        <f>H7+I7+2635.81</f>
        <v>33788.541646156365</v>
      </c>
      <c r="K7" s="39">
        <v>33788.54</v>
      </c>
      <c r="L7" s="24">
        <f>J7-K7</f>
        <v>0.0016461563645862043</v>
      </c>
      <c r="M7" s="25">
        <f>26198.01-2635.81</f>
        <v>23562.199999999997</v>
      </c>
      <c r="N7" s="39">
        <v>23547.27</v>
      </c>
      <c r="O7" s="24">
        <f>M7-N7</f>
        <v>14.929999999996653</v>
      </c>
      <c r="P7" s="24">
        <f>R7/3</f>
        <v>28540.36</v>
      </c>
      <c r="Q7" s="24">
        <f>P7*O16/100</f>
        <v>690.1660290325038</v>
      </c>
      <c r="R7" s="257">
        <f>E7+K7+N7</f>
        <v>85621.08</v>
      </c>
      <c r="S7" s="23">
        <v>30000</v>
      </c>
      <c r="T7" s="180">
        <f>Q7+S7+3373.98</f>
        <v>34064.146029032505</v>
      </c>
      <c r="U7" s="106">
        <v>34064.15</v>
      </c>
      <c r="V7" s="23">
        <f>T7-U7</f>
        <v>-0.003970967496570665</v>
      </c>
      <c r="W7" s="91">
        <f>21089.13-3373.98+1738.64</f>
        <v>19453.79</v>
      </c>
      <c r="X7" s="85">
        <v>20000.11</v>
      </c>
      <c r="Y7" s="304">
        <f>W7-X7</f>
        <v>-546.3199999999997</v>
      </c>
      <c r="Z7" s="89">
        <f>25527.58-1738.64</f>
        <v>23788.940000000002</v>
      </c>
      <c r="AA7" s="101">
        <v>24338.23</v>
      </c>
      <c r="AB7" s="304">
        <f>Z7-AA7</f>
        <v>-549.2899999999972</v>
      </c>
      <c r="AC7" s="89"/>
      <c r="AD7" s="257">
        <f>U7+X7+AA7</f>
        <v>78402.49</v>
      </c>
      <c r="AE7" s="321">
        <f>30384.36+2795.46</f>
        <v>33179.82</v>
      </c>
      <c r="AF7" s="371">
        <v>33770.4</v>
      </c>
      <c r="AG7" s="375">
        <f t="shared" si="0"/>
        <v>-590.5800000000017</v>
      </c>
      <c r="AH7" s="215">
        <v>64239.5</v>
      </c>
      <c r="AI7" s="321">
        <f>35000-2795.46+2667.29</f>
        <v>34871.83</v>
      </c>
      <c r="AJ7" s="371">
        <v>36910.63</v>
      </c>
      <c r="AK7" s="375">
        <f t="shared" si="1"/>
        <v>-2038.7999999999956</v>
      </c>
      <c r="AL7" s="392">
        <f>(R7+AD7+AF7+AJ7)/8</f>
        <v>29338.075</v>
      </c>
      <c r="AM7" s="397">
        <f>AL7*AM16/100</f>
        <v>484.4090144699809</v>
      </c>
      <c r="AN7" s="213">
        <f>25000-2667.29</f>
        <v>22332.71</v>
      </c>
      <c r="AO7" s="397">
        <f t="shared" si="2"/>
        <v>22817.11901446998</v>
      </c>
      <c r="AP7" s="215">
        <v>21622.62</v>
      </c>
      <c r="AQ7" s="321">
        <v>0</v>
      </c>
      <c r="AR7" s="321">
        <v>21622.62</v>
      </c>
      <c r="AS7" s="321">
        <v>0</v>
      </c>
      <c r="AT7" s="412">
        <f>AO7+AQ7</f>
        <v>22817.11901446998</v>
      </c>
      <c r="AU7" s="371">
        <v>23820.6</v>
      </c>
      <c r="AV7" s="375">
        <f t="shared" si="3"/>
        <v>-1003.4809855300191</v>
      </c>
      <c r="AW7" s="433">
        <f>(R7+AD7+AX7)/9</f>
        <v>28725.022222222222</v>
      </c>
      <c r="AX7" s="426">
        <f t="shared" si="4"/>
        <v>94501.63</v>
      </c>
      <c r="AY7" s="321">
        <v>4239.5</v>
      </c>
      <c r="AZ7" s="321">
        <f>AW7*AW16/100</f>
        <v>88.88563281322554</v>
      </c>
      <c r="BA7" s="412">
        <f>AR7+AY7</f>
        <v>25862.12</v>
      </c>
      <c r="BB7" s="321">
        <v>0</v>
      </c>
      <c r="BC7" s="445">
        <f t="shared" si="5"/>
        <v>25951.005632813223</v>
      </c>
      <c r="BD7" s="412">
        <f t="shared" si="6"/>
        <v>0</v>
      </c>
      <c r="BE7" s="215">
        <v>13935.74</v>
      </c>
      <c r="BF7" s="473">
        <f>BE7</f>
        <v>13935.74</v>
      </c>
      <c r="BG7" s="321">
        <v>0</v>
      </c>
      <c r="BH7" s="321">
        <f aca="true" t="shared" si="9" ref="BH7:BH13">BG7</f>
        <v>0</v>
      </c>
      <c r="BI7" s="339">
        <f aca="true" t="shared" si="10" ref="BI7:BI13">BC7+BF7+BH7</f>
        <v>39886.745632813225</v>
      </c>
      <c r="BJ7" s="167">
        <f t="shared" si="7"/>
        <v>298411.94563281327</v>
      </c>
      <c r="BK7" s="116">
        <f t="shared" si="8"/>
        <v>258525.2</v>
      </c>
      <c r="BL7" s="89">
        <f>AZ7</f>
        <v>88.88563281322554</v>
      </c>
    </row>
    <row r="8" spans="1:64" s="5" customFormat="1" ht="22.5" customHeight="1">
      <c r="A8" s="57">
        <v>4</v>
      </c>
      <c r="B8" s="124" t="s">
        <v>29</v>
      </c>
      <c r="C8" s="241">
        <v>403938.57</v>
      </c>
      <c r="D8" s="25">
        <f>28791.03+3671.9</f>
        <v>32462.93</v>
      </c>
      <c r="E8" s="40">
        <v>32462.93</v>
      </c>
      <c r="F8" s="24">
        <f>D8-E8</f>
        <v>0</v>
      </c>
      <c r="G8" s="24">
        <f>(C8+E8)/13</f>
        <v>33569.346153846156</v>
      </c>
      <c r="H8" s="25">
        <v>28791.03</v>
      </c>
      <c r="I8" s="24">
        <f>G8*G16/100</f>
        <v>6880.1330631049295</v>
      </c>
      <c r="J8" s="198">
        <f>H8+I8+59.12+16459.2</f>
        <v>52189.483063104926</v>
      </c>
      <c r="K8" s="39">
        <v>52189.48</v>
      </c>
      <c r="L8" s="24">
        <f>J8-K8</f>
        <v>0.0030631049230578355</v>
      </c>
      <c r="M8" s="25">
        <f>28791.03-59.12+8.98</f>
        <v>28740.89</v>
      </c>
      <c r="N8" s="39">
        <v>52190.33</v>
      </c>
      <c r="O8" s="285">
        <f>M8-N8</f>
        <v>-23449.440000000002</v>
      </c>
      <c r="P8" s="24">
        <f>R8/3</f>
        <v>45614.246666666666</v>
      </c>
      <c r="Q8" s="24">
        <f>P8*O16/100</f>
        <v>1103.048577146275</v>
      </c>
      <c r="R8" s="257">
        <f>E8+K8+N8</f>
        <v>136842.74</v>
      </c>
      <c r="S8" s="23">
        <f>30000-8.98</f>
        <v>29991.02</v>
      </c>
      <c r="T8" s="180">
        <f>Q8+S8+50.85</f>
        <v>31144.918577146273</v>
      </c>
      <c r="U8" s="106">
        <v>49895.94</v>
      </c>
      <c r="V8" s="297">
        <f>T8-U8</f>
        <v>-18751.02142285373</v>
      </c>
      <c r="W8" s="91">
        <f>28541.77-50.85</f>
        <v>28490.920000000002</v>
      </c>
      <c r="X8" s="85">
        <v>40767</v>
      </c>
      <c r="Y8" s="304">
        <f>W8-X8</f>
        <v>-12276.079999999998</v>
      </c>
      <c r="Z8" s="89">
        <v>29251.44</v>
      </c>
      <c r="AA8" s="101">
        <v>49331.69</v>
      </c>
      <c r="AB8" s="304">
        <v>-20089.98</v>
      </c>
      <c r="AC8" s="89">
        <f>49341.42-49331.69</f>
        <v>9.729999999995925</v>
      </c>
      <c r="AD8" s="257">
        <f>U8+X8+AA8</f>
        <v>139994.63</v>
      </c>
      <c r="AE8" s="321">
        <f>34816.69+186.9</f>
        <v>35003.590000000004</v>
      </c>
      <c r="AF8" s="371">
        <v>54666.38</v>
      </c>
      <c r="AG8" s="375">
        <f t="shared" si="0"/>
        <v>-19662.789999999994</v>
      </c>
      <c r="AH8" s="215">
        <v>68616.45</v>
      </c>
      <c r="AI8" s="321">
        <f>35000-186.9+185.37</f>
        <v>34998.47</v>
      </c>
      <c r="AJ8" s="371">
        <v>59258.75</v>
      </c>
      <c r="AK8" s="375">
        <f t="shared" si="1"/>
        <v>-24260.28</v>
      </c>
      <c r="AL8" s="392">
        <f>(R8+AD8+AF8+AJ8)/8</f>
        <v>48845.3125</v>
      </c>
      <c r="AM8" s="397">
        <f>AL8*AM16/100</f>
        <v>806.4983707896049</v>
      </c>
      <c r="AN8" s="213">
        <f>25000-185.37</f>
        <v>24814.63</v>
      </c>
      <c r="AO8" s="397">
        <f t="shared" si="2"/>
        <v>25621.128370789607</v>
      </c>
      <c r="AP8" s="215">
        <v>23095.8</v>
      </c>
      <c r="AQ8" s="321">
        <v>0</v>
      </c>
      <c r="AR8" s="321">
        <v>23095.8</v>
      </c>
      <c r="AS8" s="321">
        <v>0</v>
      </c>
      <c r="AT8" s="412">
        <f>AO8+AQ8+495.08</f>
        <v>26116.20837078961</v>
      </c>
      <c r="AU8" s="371">
        <v>47069.93</v>
      </c>
      <c r="AV8" s="375">
        <f t="shared" si="3"/>
        <v>-20953.72162921039</v>
      </c>
      <c r="AW8" s="433">
        <f>(R8+AD8+AX8)/9</f>
        <v>48648.04777777778</v>
      </c>
      <c r="AX8" s="426">
        <f t="shared" si="4"/>
        <v>160995.06</v>
      </c>
      <c r="AY8" s="321">
        <v>8616.45</v>
      </c>
      <c r="AZ8" s="321">
        <f>AW8*AW16/100</f>
        <v>150.53469683691293</v>
      </c>
      <c r="BA8" s="412">
        <f>AR8+AY8-495.08</f>
        <v>31217.17</v>
      </c>
      <c r="BB8" s="321">
        <v>0</v>
      </c>
      <c r="BC8" s="445">
        <f t="shared" si="5"/>
        <v>31367.70469683691</v>
      </c>
      <c r="BD8" s="412">
        <f t="shared" si="6"/>
        <v>0</v>
      </c>
      <c r="BE8" s="215">
        <v>14886.65</v>
      </c>
      <c r="BF8" s="473">
        <f>BE8</f>
        <v>14886.65</v>
      </c>
      <c r="BG8" s="321">
        <v>0</v>
      </c>
      <c r="BH8" s="321">
        <f t="shared" si="9"/>
        <v>0</v>
      </c>
      <c r="BI8" s="339">
        <f t="shared" si="10"/>
        <v>46254.35469683691</v>
      </c>
      <c r="BJ8" s="167">
        <f t="shared" si="7"/>
        <v>484086.7846968369</v>
      </c>
      <c r="BK8" s="116">
        <f t="shared" si="8"/>
        <v>437832.43</v>
      </c>
      <c r="BL8" s="89">
        <f>AZ8</f>
        <v>150.53469683691293</v>
      </c>
    </row>
    <row r="9" spans="1:64" s="5" customFormat="1" ht="22.5" customHeight="1">
      <c r="A9" s="57">
        <v>5</v>
      </c>
      <c r="B9" s="124" t="s">
        <v>30</v>
      </c>
      <c r="C9" s="242">
        <v>1020346.46</v>
      </c>
      <c r="D9" s="31">
        <f>65331.32+5084.18</f>
        <v>70415.5</v>
      </c>
      <c r="E9" s="41">
        <v>70415.5</v>
      </c>
      <c r="F9" s="24">
        <f>D9-E9</f>
        <v>0</v>
      </c>
      <c r="G9" s="24">
        <f>(C9+E9)/13</f>
        <v>83904.76615384615</v>
      </c>
      <c r="H9" s="31">
        <f>65331.32-5084.18</f>
        <v>60247.14</v>
      </c>
      <c r="I9" s="89">
        <f>G9*G16/100</f>
        <v>17196.52069246585</v>
      </c>
      <c r="J9" s="198">
        <f>H9+I9+22174.76+98.25</f>
        <v>99716.67069246584</v>
      </c>
      <c r="K9" s="39">
        <v>99716.67</v>
      </c>
      <c r="L9" s="24">
        <f>J9-K9</f>
        <v>0.0006924658373463899</v>
      </c>
      <c r="M9" s="31">
        <f>65331.32-22174.76+4081.11</f>
        <v>47237.67</v>
      </c>
      <c r="N9" s="85">
        <v>47346.59</v>
      </c>
      <c r="O9" s="285">
        <f>M9-N9</f>
        <v>-108.91999999999825</v>
      </c>
      <c r="P9" s="24">
        <f>R9/3</f>
        <v>72492.92</v>
      </c>
      <c r="Q9" s="24">
        <f>P9*O16/100</f>
        <v>1753.0315220050127</v>
      </c>
      <c r="R9" s="257">
        <f>E9+K9+N9</f>
        <v>217478.75999999998</v>
      </c>
      <c r="S9" s="23">
        <f>80000-4081.11</f>
        <v>75918.89</v>
      </c>
      <c r="T9" s="180">
        <f>Q9+S9+3010.67</f>
        <v>80682.59152200501</v>
      </c>
      <c r="U9" s="106">
        <v>81335</v>
      </c>
      <c r="V9" s="297">
        <f>T9-U9</f>
        <v>-652.4084779949917</v>
      </c>
      <c r="W9" s="91">
        <f>52907.75-3010.67+858.89</f>
        <v>50755.97</v>
      </c>
      <c r="X9" s="85">
        <v>51836.73</v>
      </c>
      <c r="Y9" s="304">
        <f>W9-X9</f>
        <v>-1080.760000000002</v>
      </c>
      <c r="Z9" s="89">
        <f>66409.71-858.89+219.1</f>
        <v>65769.92000000001</v>
      </c>
      <c r="AA9" s="101">
        <v>66929.47</v>
      </c>
      <c r="AB9" s="304">
        <f>Z9-AA9</f>
        <v>-1159.5499999999884</v>
      </c>
      <c r="AC9" s="89"/>
      <c r="AD9" s="257">
        <f>U9+X9+AA9</f>
        <v>200101.2</v>
      </c>
      <c r="AE9" s="321">
        <f>79044.53-219.1</f>
        <v>78825.43</v>
      </c>
      <c r="AF9" s="371">
        <v>79522.88</v>
      </c>
      <c r="AG9" s="375">
        <f t="shared" si="0"/>
        <v>-697.4500000000116</v>
      </c>
      <c r="AH9" s="215">
        <v>162108.17</v>
      </c>
      <c r="AI9" s="321">
        <f>65000+3935.73</f>
        <v>68935.73</v>
      </c>
      <c r="AJ9" s="371">
        <v>69071.74</v>
      </c>
      <c r="AK9" s="375">
        <f t="shared" si="1"/>
        <v>-136.0100000000093</v>
      </c>
      <c r="AL9" s="392">
        <f>(R9+AD9+AF9+AJ9)/8</f>
        <v>70771.8225</v>
      </c>
      <c r="AM9" s="397">
        <f>AL9*AM16/100</f>
        <v>1168.5329998464254</v>
      </c>
      <c r="AN9" s="213">
        <f>55000-3935.73</f>
        <v>51064.27</v>
      </c>
      <c r="AO9" s="397">
        <f t="shared" si="2"/>
        <v>52232.80299984642</v>
      </c>
      <c r="AP9" s="215">
        <v>54567.85</v>
      </c>
      <c r="AQ9" s="321">
        <v>7770</v>
      </c>
      <c r="AR9" s="321">
        <v>46797.85</v>
      </c>
      <c r="AS9" s="321">
        <v>0</v>
      </c>
      <c r="AT9" s="412">
        <f>AO9+AQ9+189.41</f>
        <v>60192.21299984642</v>
      </c>
      <c r="AU9" s="371">
        <v>60192.21</v>
      </c>
      <c r="AV9" s="321">
        <f t="shared" si="3"/>
        <v>0.002999846423335839</v>
      </c>
      <c r="AW9" s="433">
        <f>(R9+AD9+AX9)/9</f>
        <v>69596.31</v>
      </c>
      <c r="AX9" s="426">
        <f t="shared" si="4"/>
        <v>208786.83</v>
      </c>
      <c r="AY9" s="321">
        <v>42108.17</v>
      </c>
      <c r="AZ9" s="321">
        <f>AW9*AW16/100</f>
        <v>215.35621479971297</v>
      </c>
      <c r="BA9" s="412">
        <f>AR9+AY9-189.41</f>
        <v>88716.60999999999</v>
      </c>
      <c r="BB9" s="321">
        <v>0</v>
      </c>
      <c r="BC9" s="445">
        <f t="shared" si="5"/>
        <v>88931.9662147997</v>
      </c>
      <c r="BD9" s="412">
        <f t="shared" si="6"/>
        <v>0</v>
      </c>
      <c r="BE9" s="215">
        <v>34686.72</v>
      </c>
      <c r="BF9" s="473">
        <f>BE9</f>
        <v>34686.72</v>
      </c>
      <c r="BG9" s="321">
        <v>0</v>
      </c>
      <c r="BH9" s="321">
        <f t="shared" si="9"/>
        <v>0</v>
      </c>
      <c r="BI9" s="339">
        <f t="shared" si="10"/>
        <v>123618.6862147997</v>
      </c>
      <c r="BJ9" s="167">
        <f t="shared" si="7"/>
        <v>749985.4762147996</v>
      </c>
      <c r="BK9" s="116">
        <f t="shared" si="8"/>
        <v>626366.7899999999</v>
      </c>
      <c r="BL9" s="89">
        <f>AZ9</f>
        <v>215.35621479971297</v>
      </c>
    </row>
    <row r="10" spans="1:64" s="5" customFormat="1" ht="22.5" customHeight="1">
      <c r="A10" s="57">
        <v>6</v>
      </c>
      <c r="B10" s="124" t="s">
        <v>100</v>
      </c>
      <c r="C10" s="241"/>
      <c r="D10" s="25"/>
      <c r="E10" s="40"/>
      <c r="F10" s="25"/>
      <c r="G10" s="25"/>
      <c r="H10" s="25"/>
      <c r="I10" s="25"/>
      <c r="J10" s="340"/>
      <c r="K10" s="40"/>
      <c r="L10" s="25"/>
      <c r="M10" s="25"/>
      <c r="N10" s="40"/>
      <c r="O10" s="309"/>
      <c r="P10" s="25"/>
      <c r="Q10" s="25"/>
      <c r="R10" s="341">
        <v>0</v>
      </c>
      <c r="S10" s="56"/>
      <c r="T10" s="180"/>
      <c r="U10" s="276"/>
      <c r="V10" s="297"/>
      <c r="W10" s="92"/>
      <c r="X10" s="107"/>
      <c r="Y10" s="304"/>
      <c r="Z10" s="95"/>
      <c r="AA10" s="102"/>
      <c r="AB10" s="304"/>
      <c r="AC10" s="89"/>
      <c r="AD10" s="257">
        <v>0</v>
      </c>
      <c r="AE10" s="342">
        <v>0</v>
      </c>
      <c r="AF10" s="372">
        <v>0</v>
      </c>
      <c r="AG10" s="321">
        <f t="shared" si="0"/>
        <v>0</v>
      </c>
      <c r="AH10" s="353">
        <v>43369.04</v>
      </c>
      <c r="AI10" s="342">
        <f>15000+847.43</f>
        <v>15847.43</v>
      </c>
      <c r="AJ10" s="372">
        <v>15847.43</v>
      </c>
      <c r="AK10" s="392">
        <f t="shared" si="1"/>
        <v>0</v>
      </c>
      <c r="AL10" s="392"/>
      <c r="AM10" s="398">
        <v>0</v>
      </c>
      <c r="AN10" s="345">
        <f>15000-847.43</f>
        <v>14152.57</v>
      </c>
      <c r="AO10" s="397">
        <f t="shared" si="2"/>
        <v>14152.57</v>
      </c>
      <c r="AP10" s="215">
        <v>14599.5</v>
      </c>
      <c r="AQ10" s="321">
        <v>0</v>
      </c>
      <c r="AR10" s="321">
        <v>10000</v>
      </c>
      <c r="AS10" s="321">
        <v>4599.5</v>
      </c>
      <c r="AT10" s="412">
        <f>AO10+AQ10</f>
        <v>14152.57</v>
      </c>
      <c r="AU10" s="371">
        <v>14125.15</v>
      </c>
      <c r="AV10" s="321">
        <f t="shared" si="3"/>
        <v>27.420000000000073</v>
      </c>
      <c r="AW10" s="321"/>
      <c r="AX10" s="426">
        <f t="shared" si="4"/>
        <v>29972.58</v>
      </c>
      <c r="AY10" s="321">
        <v>13369.04</v>
      </c>
      <c r="AZ10" s="321"/>
      <c r="BA10" s="412">
        <f>AR10+AY10</f>
        <v>23369.04</v>
      </c>
      <c r="BB10" s="342">
        <v>0</v>
      </c>
      <c r="BC10" s="445">
        <f t="shared" si="5"/>
        <v>23369.04</v>
      </c>
      <c r="BD10" s="412">
        <f t="shared" si="6"/>
        <v>4599.5</v>
      </c>
      <c r="BE10" s="215">
        <v>13817.99</v>
      </c>
      <c r="BF10" s="473">
        <f>BE10+BD10</f>
        <v>18417.489999999998</v>
      </c>
      <c r="BG10" s="342">
        <v>0</v>
      </c>
      <c r="BH10" s="321">
        <f t="shared" si="9"/>
        <v>0</v>
      </c>
      <c r="BI10" s="339">
        <f t="shared" si="10"/>
        <v>41786.53</v>
      </c>
      <c r="BJ10" s="167">
        <f t="shared" si="7"/>
        <v>71759.11</v>
      </c>
      <c r="BK10" s="116">
        <f t="shared" si="8"/>
        <v>29972.58</v>
      </c>
      <c r="BL10" s="89">
        <f>AZ10-AV10</f>
        <v>-27.420000000000073</v>
      </c>
    </row>
    <row r="11" spans="1:64" s="5" customFormat="1" ht="30" customHeight="1" thickBot="1">
      <c r="A11" s="57">
        <v>7</v>
      </c>
      <c r="B11" s="125" t="s">
        <v>31</v>
      </c>
      <c r="C11" s="243">
        <v>442495.05</v>
      </c>
      <c r="D11" s="60">
        <v>55694.39</v>
      </c>
      <c r="E11" s="59">
        <v>32351.31</v>
      </c>
      <c r="F11" s="24">
        <f>D11-E11</f>
        <v>23343.079999999998</v>
      </c>
      <c r="G11" s="24">
        <v>0</v>
      </c>
      <c r="H11" s="60">
        <v>55694.39</v>
      </c>
      <c r="I11" s="60">
        <v>0</v>
      </c>
      <c r="J11" s="198">
        <f>H11+I11+4492.13</f>
        <v>60186.52</v>
      </c>
      <c r="K11" s="59">
        <v>60186.52</v>
      </c>
      <c r="L11" s="24">
        <f>J11-K11</f>
        <v>0</v>
      </c>
      <c r="M11" s="60">
        <f>55694.39-4492.13+14957.31</f>
        <v>66159.57</v>
      </c>
      <c r="N11" s="59">
        <v>66716.43</v>
      </c>
      <c r="O11" s="285">
        <f>M11-N11</f>
        <v>-556.859999999986</v>
      </c>
      <c r="P11" s="24">
        <f>R11/3</f>
        <v>53084.753333333334</v>
      </c>
      <c r="Q11" s="24">
        <f>P11*O16/100</f>
        <v>1283.7011660061976</v>
      </c>
      <c r="R11" s="257">
        <f>E11+K11+N11</f>
        <v>159254.26</v>
      </c>
      <c r="S11" s="56">
        <f>60000-14957.31</f>
        <v>45042.69</v>
      </c>
      <c r="T11" s="180">
        <f>Q11+S11+24895.11</f>
        <v>71221.5011660062</v>
      </c>
      <c r="U11" s="276">
        <v>71774.71</v>
      </c>
      <c r="V11" s="297">
        <f>T11-U11</f>
        <v>-553.2088339938055</v>
      </c>
      <c r="W11" s="92">
        <f>48562.74-24895.11+34324.46</f>
        <v>57992.09</v>
      </c>
      <c r="X11" s="107">
        <v>58477.34</v>
      </c>
      <c r="Y11" s="304">
        <f>W11-X11</f>
        <v>-485.25</v>
      </c>
      <c r="Z11" s="95">
        <f>54245.3-34324.46+45492.89</f>
        <v>65413.73</v>
      </c>
      <c r="AA11" s="102">
        <v>66338.18</v>
      </c>
      <c r="AB11" s="304">
        <f>Z11-AA11</f>
        <v>-924.4499999999898</v>
      </c>
      <c r="AC11" s="89"/>
      <c r="AD11" s="257">
        <f>U11+X11+AA11</f>
        <v>196590.22999999998</v>
      </c>
      <c r="AE11" s="322">
        <f>64565.8-45492.89+54624.14</f>
        <v>73697.05</v>
      </c>
      <c r="AF11" s="373">
        <v>74047.68</v>
      </c>
      <c r="AG11" s="375">
        <f t="shared" si="0"/>
        <v>-350.6299999999901</v>
      </c>
      <c r="AH11" s="354">
        <v>137029.98</v>
      </c>
      <c r="AI11" s="322">
        <f>125098-54624.14+1631.41</f>
        <v>72105.27</v>
      </c>
      <c r="AJ11" s="373">
        <v>72195.75</v>
      </c>
      <c r="AK11" s="375">
        <f t="shared" si="1"/>
        <v>-90.47999999999593</v>
      </c>
      <c r="AL11" s="392">
        <f>(R11+AD11+AF11+AJ11)/8</f>
        <v>62760.99</v>
      </c>
      <c r="AM11" s="399">
        <f>AL11*AM16/100</f>
        <v>1036.263944142904</v>
      </c>
      <c r="AN11" s="322">
        <f>11931.98-1631.41</f>
        <v>10300.57</v>
      </c>
      <c r="AO11" s="397">
        <f t="shared" si="2"/>
        <v>11336.833944142903</v>
      </c>
      <c r="AP11" s="215">
        <v>46127.71</v>
      </c>
      <c r="AQ11" s="321">
        <v>8000</v>
      </c>
      <c r="AR11" s="321">
        <v>38127.71</v>
      </c>
      <c r="AS11" s="321">
        <v>0</v>
      </c>
      <c r="AT11" s="412">
        <f>AO11+AQ11</f>
        <v>19336.833944142905</v>
      </c>
      <c r="AU11" s="371">
        <v>18831.12</v>
      </c>
      <c r="AV11" s="321">
        <f t="shared" si="3"/>
        <v>505.71394414290626</v>
      </c>
      <c r="AW11" s="321"/>
      <c r="AX11" s="426">
        <f t="shared" si="4"/>
        <v>165074.55</v>
      </c>
      <c r="AY11" s="321">
        <v>0</v>
      </c>
      <c r="AZ11" s="321"/>
      <c r="BA11" s="412">
        <f>AR11+AY11</f>
        <v>38127.71</v>
      </c>
      <c r="BB11" s="322">
        <v>0</v>
      </c>
      <c r="BC11" s="445">
        <f t="shared" si="5"/>
        <v>38127.71</v>
      </c>
      <c r="BD11" s="412">
        <f t="shared" si="6"/>
        <v>0</v>
      </c>
      <c r="BE11" s="354">
        <v>29642.02</v>
      </c>
      <c r="BF11" s="473">
        <f>BE11</f>
        <v>29642.02</v>
      </c>
      <c r="BG11" s="322">
        <v>0</v>
      </c>
      <c r="BH11" s="321">
        <f t="shared" si="9"/>
        <v>0</v>
      </c>
      <c r="BI11" s="339">
        <f t="shared" si="10"/>
        <v>67769.73</v>
      </c>
      <c r="BJ11" s="167">
        <f t="shared" si="7"/>
        <v>588688.77</v>
      </c>
      <c r="BK11" s="116">
        <f t="shared" si="8"/>
        <v>520919.04</v>
      </c>
      <c r="BL11" s="89">
        <f>AZ11-AV11</f>
        <v>-505.71394414290626</v>
      </c>
    </row>
    <row r="12" spans="1:64" s="11" customFormat="1" ht="23.25" customHeight="1" thickBot="1">
      <c r="A12" s="138"/>
      <c r="B12" s="14" t="s">
        <v>2</v>
      </c>
      <c r="C12" s="46">
        <f aca="true" t="shared" si="11" ref="C12:N12">SUM(C5:C11)</f>
        <v>3029142.83</v>
      </c>
      <c r="D12" s="46">
        <f t="shared" si="11"/>
        <v>280273.04</v>
      </c>
      <c r="E12" s="46">
        <f t="shared" si="11"/>
        <v>242145.4</v>
      </c>
      <c r="F12" s="46">
        <f t="shared" si="11"/>
        <v>38127.64</v>
      </c>
      <c r="G12" s="46">
        <f t="shared" si="11"/>
        <v>195155.3276923077</v>
      </c>
      <c r="H12" s="46">
        <f t="shared" si="11"/>
        <v>252698.22000000003</v>
      </c>
      <c r="I12" s="46">
        <f t="shared" si="11"/>
        <v>39997.64</v>
      </c>
      <c r="J12" s="46">
        <f t="shared" si="11"/>
        <v>344274.83</v>
      </c>
      <c r="K12" s="46">
        <f t="shared" si="11"/>
        <v>344274.82</v>
      </c>
      <c r="L12" s="46">
        <f t="shared" si="11"/>
        <v>0.009999999987485353</v>
      </c>
      <c r="M12" s="46">
        <f t="shared" si="11"/>
        <v>248625.88</v>
      </c>
      <c r="N12" s="46">
        <f t="shared" si="11"/>
        <v>267242.11</v>
      </c>
      <c r="O12" s="46">
        <f>O5+O6+O7</f>
        <v>5498.989999999994</v>
      </c>
      <c r="P12" s="46">
        <f aca="true" t="shared" si="12" ref="P12:AF12">SUM(P5:P11)</f>
        <v>236083.65</v>
      </c>
      <c r="Q12" s="46">
        <f t="shared" si="12"/>
        <v>5708.999999999982</v>
      </c>
      <c r="R12" s="46">
        <f t="shared" si="12"/>
        <v>853662.33</v>
      </c>
      <c r="S12" s="46">
        <f t="shared" si="12"/>
        <v>277952.6</v>
      </c>
      <c r="T12" s="46">
        <f t="shared" si="12"/>
        <v>320491.63</v>
      </c>
      <c r="U12" s="46">
        <f t="shared" si="12"/>
        <v>340446.12000000005</v>
      </c>
      <c r="V12" s="46">
        <f t="shared" si="12"/>
        <v>-19954.490000000034</v>
      </c>
      <c r="W12" s="46">
        <f t="shared" si="12"/>
        <v>236058.1</v>
      </c>
      <c r="X12" s="46">
        <f t="shared" si="12"/>
        <v>250691.04</v>
      </c>
      <c r="Y12" s="46">
        <f t="shared" si="12"/>
        <v>-14632.939999999999</v>
      </c>
      <c r="Z12" s="45">
        <f t="shared" si="12"/>
        <v>271800.37</v>
      </c>
      <c r="AA12" s="45">
        <f t="shared" si="12"/>
        <v>295923.04000000004</v>
      </c>
      <c r="AB12" s="45">
        <f t="shared" si="12"/>
        <v>-24132.969999999976</v>
      </c>
      <c r="AC12" s="45">
        <f t="shared" si="12"/>
        <v>10.299999999995926</v>
      </c>
      <c r="AD12" s="45">
        <f t="shared" si="12"/>
        <v>887060.2</v>
      </c>
      <c r="AE12" s="46">
        <f t="shared" si="12"/>
        <v>330958.39</v>
      </c>
      <c r="AF12" s="46">
        <f t="shared" si="12"/>
        <v>352868.32</v>
      </c>
      <c r="AG12" s="46">
        <f>AG6+AG10</f>
        <v>0</v>
      </c>
      <c r="AH12" s="46">
        <f>SUM(AH5:AH11)</f>
        <v>688000</v>
      </c>
      <c r="AI12" s="197">
        <f>SUM(AI5:AI11)</f>
        <v>326462.36000000004</v>
      </c>
      <c r="AJ12" s="46">
        <f>SUM(AJ5:AJ11)</f>
        <v>351221.15</v>
      </c>
      <c r="AK12" s="46">
        <f>AK6+AK10</f>
        <v>2314.290000000001</v>
      </c>
      <c r="AL12" s="46">
        <f aca="true" t="shared" si="13" ref="AL12:AU12">SUM(AL5:AL11)</f>
        <v>263794.1275</v>
      </c>
      <c r="AM12" s="46">
        <f t="shared" si="13"/>
        <v>4355.577294190007</v>
      </c>
      <c r="AN12" s="346">
        <f t="shared" si="13"/>
        <v>187219.73</v>
      </c>
      <c r="AO12" s="346">
        <f t="shared" si="13"/>
        <v>191575.30729419</v>
      </c>
      <c r="AP12" s="46">
        <f t="shared" si="13"/>
        <v>231400</v>
      </c>
      <c r="AQ12" s="46">
        <f t="shared" si="13"/>
        <v>25770</v>
      </c>
      <c r="AR12" s="46">
        <f t="shared" si="13"/>
        <v>174317.05</v>
      </c>
      <c r="AS12" s="46">
        <f t="shared" si="13"/>
        <v>31312.95</v>
      </c>
      <c r="AT12" s="46">
        <f t="shared" si="13"/>
        <v>218424.31729419</v>
      </c>
      <c r="AU12" s="46">
        <f t="shared" si="13"/>
        <v>240131.67999999996</v>
      </c>
      <c r="AV12" s="46">
        <f>AV6+AV9+AV10+AV11</f>
        <v>533.8669439893292</v>
      </c>
      <c r="AW12" s="435">
        <f aca="true" t="shared" si="14" ref="AW12:BL12">SUM(AW5:AW11)</f>
        <v>198382.36000000002</v>
      </c>
      <c r="AX12" s="46">
        <f t="shared" si="14"/>
        <v>944221.1499999999</v>
      </c>
      <c r="AY12" s="46">
        <f t="shared" si="14"/>
        <v>110970.01999999999</v>
      </c>
      <c r="AZ12" s="46">
        <f t="shared" si="14"/>
        <v>613.8669439893292</v>
      </c>
      <c r="BA12" s="197">
        <f t="shared" si="14"/>
        <v>284208.06</v>
      </c>
      <c r="BB12" s="197">
        <f t="shared" si="14"/>
        <v>0</v>
      </c>
      <c r="BC12" s="478">
        <f t="shared" si="14"/>
        <v>284821.92694398935</v>
      </c>
      <c r="BD12" s="46">
        <f t="shared" si="14"/>
        <v>31312.95</v>
      </c>
      <c r="BE12" s="46">
        <f>SUM(BE5:BE11)</f>
        <v>152734</v>
      </c>
      <c r="BF12" s="46">
        <f>SUM(BF5:BF11)</f>
        <v>163887.21</v>
      </c>
      <c r="BG12" s="46">
        <f>SUM(BG5:BG11)</f>
        <v>0</v>
      </c>
      <c r="BH12" s="46">
        <f>SUM(BH5:BH11)</f>
        <v>20159.74</v>
      </c>
      <c r="BI12" s="46">
        <f>SUM(BI5:BI11)</f>
        <v>468868.8769439893</v>
      </c>
      <c r="BJ12" s="46">
        <f t="shared" si="14"/>
        <v>3153812.5569439894</v>
      </c>
      <c r="BK12" s="403">
        <f t="shared" si="14"/>
        <v>2684943.68</v>
      </c>
      <c r="BL12" s="403">
        <f t="shared" si="14"/>
        <v>80.00299984642334</v>
      </c>
    </row>
    <row r="13" spans="1:64" s="6" customFormat="1" ht="29.25" customHeight="1" thickBot="1">
      <c r="A13" s="133">
        <v>8</v>
      </c>
      <c r="B13" s="126" t="s">
        <v>15</v>
      </c>
      <c r="C13" s="244">
        <v>167640</v>
      </c>
      <c r="D13" s="58">
        <v>15000</v>
      </c>
      <c r="E13" s="59">
        <v>13130</v>
      </c>
      <c r="F13" s="24">
        <f>D13-E13</f>
        <v>1870</v>
      </c>
      <c r="G13" s="60">
        <v>0</v>
      </c>
      <c r="H13" s="58">
        <v>15000</v>
      </c>
      <c r="I13" s="58">
        <v>0</v>
      </c>
      <c r="J13" s="198">
        <f>H13+I13</f>
        <v>15000</v>
      </c>
      <c r="K13" s="59">
        <v>14850</v>
      </c>
      <c r="L13" s="24">
        <f>J13-K13</f>
        <v>150</v>
      </c>
      <c r="M13" s="58">
        <v>15000</v>
      </c>
      <c r="N13" s="59">
        <v>14940</v>
      </c>
      <c r="O13" s="24">
        <f>M13-N13</f>
        <v>60</v>
      </c>
      <c r="P13" s="24">
        <v>0</v>
      </c>
      <c r="Q13" s="24">
        <v>0</v>
      </c>
      <c r="R13" s="257">
        <f>E13+K13+N13</f>
        <v>42920</v>
      </c>
      <c r="S13" s="56">
        <v>15000</v>
      </c>
      <c r="T13" s="180">
        <f>Q13+S13</f>
        <v>15000</v>
      </c>
      <c r="U13" s="102">
        <v>15000</v>
      </c>
      <c r="V13" s="113">
        <f>T13-U13</f>
        <v>0</v>
      </c>
      <c r="W13" s="134">
        <v>15000</v>
      </c>
      <c r="X13" s="102">
        <v>15000</v>
      </c>
      <c r="Y13" s="90">
        <f>W13-X13</f>
        <v>0</v>
      </c>
      <c r="Z13" s="135">
        <v>15000</v>
      </c>
      <c r="AA13" s="102">
        <v>14920</v>
      </c>
      <c r="AB13" s="90"/>
      <c r="AC13" s="89">
        <f>Z13-AA13</f>
        <v>80</v>
      </c>
      <c r="AD13" s="257">
        <f>U13+X13+AA13</f>
        <v>44920</v>
      </c>
      <c r="AE13" s="323">
        <v>15000</v>
      </c>
      <c r="AF13" s="374">
        <v>15000</v>
      </c>
      <c r="AG13" s="321">
        <f>AE13-AF13</f>
        <v>0</v>
      </c>
      <c r="AH13" s="355">
        <v>36200</v>
      </c>
      <c r="AI13" s="333">
        <v>15000</v>
      </c>
      <c r="AJ13" s="374">
        <v>13120</v>
      </c>
      <c r="AK13" s="392">
        <f>AI13-AJ13</f>
        <v>1880</v>
      </c>
      <c r="AL13" s="393"/>
      <c r="AM13" s="400">
        <v>0</v>
      </c>
      <c r="AN13" s="347">
        <v>11000</v>
      </c>
      <c r="AO13" s="397">
        <f>AM13+AN13</f>
        <v>11000</v>
      </c>
      <c r="AP13" s="215">
        <v>5000</v>
      </c>
      <c r="AQ13" s="321">
        <v>2000</v>
      </c>
      <c r="AR13" s="321">
        <v>3000</v>
      </c>
      <c r="AS13" s="321">
        <v>0</v>
      </c>
      <c r="AT13" s="412">
        <f>AO13+AQ13</f>
        <v>13000</v>
      </c>
      <c r="AU13" s="371">
        <v>12920</v>
      </c>
      <c r="AV13" s="321">
        <f>AT13-AU13</f>
        <v>80</v>
      </c>
      <c r="AW13" s="321"/>
      <c r="AX13" s="426">
        <f>AF13+AJ13+AU13</f>
        <v>41040</v>
      </c>
      <c r="AY13" s="321">
        <f>AH13-AI13-AN13</f>
        <v>10200</v>
      </c>
      <c r="AZ13" s="321"/>
      <c r="BA13" s="412">
        <f>AR13+AY13</f>
        <v>13200</v>
      </c>
      <c r="BB13" s="333">
        <v>0</v>
      </c>
      <c r="BC13" s="445">
        <f>AZ13+BA13</f>
        <v>13200</v>
      </c>
      <c r="BD13" s="412">
        <f>AS13+BB13</f>
        <v>0</v>
      </c>
      <c r="BE13" s="354">
        <v>7000</v>
      </c>
      <c r="BF13" s="474">
        <f>BE13</f>
        <v>7000</v>
      </c>
      <c r="BG13" s="333">
        <v>0</v>
      </c>
      <c r="BH13" s="321">
        <f t="shared" si="9"/>
        <v>0</v>
      </c>
      <c r="BI13" s="339">
        <f t="shared" si="10"/>
        <v>20200</v>
      </c>
      <c r="BJ13" s="167">
        <f>R13+AD13+AX13+BI13</f>
        <v>149080</v>
      </c>
      <c r="BK13" s="116">
        <f>R13+AD13+AX13</f>
        <v>128880</v>
      </c>
      <c r="BL13" s="89">
        <f>AZ13-AV13</f>
        <v>-80</v>
      </c>
    </row>
    <row r="14" spans="1:64" s="7" customFormat="1" ht="21" customHeight="1" thickBot="1">
      <c r="A14" s="162"/>
      <c r="B14" s="61" t="s">
        <v>3</v>
      </c>
      <c r="C14" s="55">
        <f aca="true" t="shared" si="15" ref="C14:AH14">SUM(C13:C13)</f>
        <v>167640</v>
      </c>
      <c r="D14" s="55">
        <f t="shared" si="15"/>
        <v>15000</v>
      </c>
      <c r="E14" s="55">
        <f t="shared" si="15"/>
        <v>13130</v>
      </c>
      <c r="F14" s="55">
        <f t="shared" si="15"/>
        <v>1870</v>
      </c>
      <c r="G14" s="55">
        <f t="shared" si="15"/>
        <v>0</v>
      </c>
      <c r="H14" s="55">
        <f t="shared" si="15"/>
        <v>15000</v>
      </c>
      <c r="I14" s="55">
        <f t="shared" si="15"/>
        <v>0</v>
      </c>
      <c r="J14" s="55">
        <f t="shared" si="15"/>
        <v>15000</v>
      </c>
      <c r="K14" s="55">
        <f t="shared" si="15"/>
        <v>14850</v>
      </c>
      <c r="L14" s="55">
        <f t="shared" si="15"/>
        <v>150</v>
      </c>
      <c r="M14" s="55">
        <f t="shared" si="15"/>
        <v>15000</v>
      </c>
      <c r="N14" s="55">
        <f t="shared" si="15"/>
        <v>14940</v>
      </c>
      <c r="O14" s="55">
        <f t="shared" si="15"/>
        <v>60</v>
      </c>
      <c r="P14" s="55">
        <f t="shared" si="15"/>
        <v>0</v>
      </c>
      <c r="Q14" s="55">
        <f t="shared" si="15"/>
        <v>0</v>
      </c>
      <c r="R14" s="258">
        <f t="shared" si="15"/>
        <v>42920</v>
      </c>
      <c r="S14" s="55">
        <f t="shared" si="15"/>
        <v>15000</v>
      </c>
      <c r="T14" s="55">
        <f t="shared" si="15"/>
        <v>15000</v>
      </c>
      <c r="U14" s="55">
        <f t="shared" si="15"/>
        <v>15000</v>
      </c>
      <c r="V14" s="55">
        <f t="shared" si="15"/>
        <v>0</v>
      </c>
      <c r="W14" s="55">
        <f t="shared" si="15"/>
        <v>15000</v>
      </c>
      <c r="X14" s="55">
        <f t="shared" si="15"/>
        <v>15000</v>
      </c>
      <c r="Y14" s="54">
        <f t="shared" si="15"/>
        <v>0</v>
      </c>
      <c r="Z14" s="55">
        <f t="shared" si="15"/>
        <v>15000</v>
      </c>
      <c r="AA14" s="55">
        <f t="shared" si="15"/>
        <v>14920</v>
      </c>
      <c r="AB14" s="54">
        <f t="shared" si="15"/>
        <v>0</v>
      </c>
      <c r="AC14" s="55">
        <f t="shared" si="15"/>
        <v>80</v>
      </c>
      <c r="AD14" s="55">
        <f t="shared" si="15"/>
        <v>44920</v>
      </c>
      <c r="AE14" s="55">
        <f t="shared" si="15"/>
        <v>15000</v>
      </c>
      <c r="AF14" s="55">
        <f t="shared" si="15"/>
        <v>15000</v>
      </c>
      <c r="AG14" s="55">
        <f t="shared" si="15"/>
        <v>0</v>
      </c>
      <c r="AH14" s="55">
        <f t="shared" si="15"/>
        <v>36200</v>
      </c>
      <c r="AI14" s="55">
        <f aca="true" t="shared" si="16" ref="AI14:BL14">SUM(AI13:AI13)</f>
        <v>15000</v>
      </c>
      <c r="AJ14" s="55">
        <f t="shared" si="16"/>
        <v>13120</v>
      </c>
      <c r="AK14" s="55">
        <f t="shared" si="16"/>
        <v>1880</v>
      </c>
      <c r="AL14" s="55">
        <f t="shared" si="16"/>
        <v>0</v>
      </c>
      <c r="AM14" s="55">
        <f t="shared" si="16"/>
        <v>0</v>
      </c>
      <c r="AN14" s="201">
        <f t="shared" si="16"/>
        <v>11000</v>
      </c>
      <c r="AO14" s="55">
        <f t="shared" si="16"/>
        <v>11000</v>
      </c>
      <c r="AP14" s="55">
        <f t="shared" si="16"/>
        <v>5000</v>
      </c>
      <c r="AQ14" s="55">
        <f t="shared" si="16"/>
        <v>2000</v>
      </c>
      <c r="AR14" s="55">
        <f t="shared" si="16"/>
        <v>3000</v>
      </c>
      <c r="AS14" s="55">
        <f t="shared" si="16"/>
        <v>0</v>
      </c>
      <c r="AT14" s="55">
        <f t="shared" si="16"/>
        <v>13000</v>
      </c>
      <c r="AU14" s="55">
        <f t="shared" si="16"/>
        <v>12920</v>
      </c>
      <c r="AV14" s="55">
        <f t="shared" si="16"/>
        <v>80</v>
      </c>
      <c r="AW14" s="55">
        <f t="shared" si="16"/>
        <v>0</v>
      </c>
      <c r="AX14" s="55">
        <f t="shared" si="16"/>
        <v>41040</v>
      </c>
      <c r="AY14" s="55">
        <f t="shared" si="16"/>
        <v>10200</v>
      </c>
      <c r="AZ14" s="55">
        <f t="shared" si="16"/>
        <v>0</v>
      </c>
      <c r="BA14" s="55">
        <f t="shared" si="16"/>
        <v>13200</v>
      </c>
      <c r="BB14" s="55">
        <f t="shared" si="16"/>
        <v>0</v>
      </c>
      <c r="BC14" s="479">
        <f t="shared" si="16"/>
        <v>13200</v>
      </c>
      <c r="BD14" s="55">
        <f t="shared" si="16"/>
        <v>0</v>
      </c>
      <c r="BE14" s="55">
        <f>SUM(BE13:BE13)</f>
        <v>7000</v>
      </c>
      <c r="BF14" s="55">
        <f>SUM(BF13:BF13)</f>
        <v>7000</v>
      </c>
      <c r="BG14" s="55">
        <f>SUM(BG13:BG13)</f>
        <v>0</v>
      </c>
      <c r="BH14" s="55">
        <f>SUM(BH13:BH13)</f>
        <v>0</v>
      </c>
      <c r="BI14" s="55">
        <f t="shared" si="16"/>
        <v>20200</v>
      </c>
      <c r="BJ14" s="55">
        <f t="shared" si="16"/>
        <v>149080</v>
      </c>
      <c r="BK14" s="55">
        <f t="shared" si="16"/>
        <v>128880</v>
      </c>
      <c r="BL14" s="55">
        <f t="shared" si="16"/>
        <v>-80</v>
      </c>
    </row>
    <row r="15" spans="1:64" s="236" customFormat="1" ht="28.5" customHeight="1" thickBot="1">
      <c r="A15" s="234"/>
      <c r="B15" s="235" t="s">
        <v>4</v>
      </c>
      <c r="C15" s="137">
        <f aca="true" t="shared" si="17" ref="C15:U15">C12+C14</f>
        <v>3196782.83</v>
      </c>
      <c r="D15" s="45">
        <f t="shared" si="17"/>
        <v>295273.04</v>
      </c>
      <c r="E15" s="45">
        <f t="shared" si="17"/>
        <v>255275.4</v>
      </c>
      <c r="F15" s="36">
        <f t="shared" si="17"/>
        <v>39997.64</v>
      </c>
      <c r="G15" s="45">
        <f t="shared" si="17"/>
        <v>195155.3276923077</v>
      </c>
      <c r="H15" s="45">
        <f t="shared" si="17"/>
        <v>267698.22000000003</v>
      </c>
      <c r="I15" s="36">
        <f t="shared" si="17"/>
        <v>39997.64</v>
      </c>
      <c r="J15" s="45">
        <f t="shared" si="17"/>
        <v>359274.83</v>
      </c>
      <c r="K15" s="45">
        <f t="shared" si="17"/>
        <v>359124.82</v>
      </c>
      <c r="L15" s="178">
        <f t="shared" si="17"/>
        <v>150.00999999998749</v>
      </c>
      <c r="M15" s="45">
        <f t="shared" si="17"/>
        <v>263625.88</v>
      </c>
      <c r="N15" s="45">
        <f t="shared" si="17"/>
        <v>282182.11</v>
      </c>
      <c r="O15" s="178">
        <f t="shared" si="17"/>
        <v>5558.989999999994</v>
      </c>
      <c r="P15" s="45">
        <f t="shared" si="17"/>
        <v>236083.65</v>
      </c>
      <c r="Q15" s="286">
        <f t="shared" si="17"/>
        <v>5708.999999999982</v>
      </c>
      <c r="R15" s="137">
        <f t="shared" si="17"/>
        <v>896582.33</v>
      </c>
      <c r="S15" s="45">
        <f t="shared" si="17"/>
        <v>292952.6</v>
      </c>
      <c r="T15" s="45">
        <f t="shared" si="17"/>
        <v>335491.63</v>
      </c>
      <c r="U15" s="45">
        <f t="shared" si="17"/>
        <v>355446.12000000005</v>
      </c>
      <c r="V15" s="178">
        <f>V6</f>
        <v>2.152705809989129</v>
      </c>
      <c r="W15" s="45">
        <f>W12+W14</f>
        <v>251058.1</v>
      </c>
      <c r="X15" s="45">
        <f>X12+X14</f>
        <v>265691.04000000004</v>
      </c>
      <c r="Y15" s="305">
        <f>Y6</f>
        <v>73.13999999999942</v>
      </c>
      <c r="Z15" s="45">
        <f aca="true" t="shared" si="18" ref="Z15:BL15">Z12+Z14</f>
        <v>286800.37</v>
      </c>
      <c r="AA15" s="45">
        <f t="shared" si="18"/>
        <v>310843.04000000004</v>
      </c>
      <c r="AB15" s="46">
        <f t="shared" si="18"/>
        <v>-24132.969999999976</v>
      </c>
      <c r="AC15" s="178">
        <f t="shared" si="18"/>
        <v>90.29999999999592</v>
      </c>
      <c r="AD15" s="45">
        <f t="shared" si="18"/>
        <v>931980.2</v>
      </c>
      <c r="AE15" s="45">
        <f t="shared" si="18"/>
        <v>345958.39</v>
      </c>
      <c r="AF15" s="45">
        <f t="shared" si="18"/>
        <v>367868.32</v>
      </c>
      <c r="AG15" s="45">
        <f t="shared" si="18"/>
        <v>0</v>
      </c>
      <c r="AH15" s="45">
        <f t="shared" si="18"/>
        <v>724200</v>
      </c>
      <c r="AI15" s="403">
        <f t="shared" si="18"/>
        <v>341462.36000000004</v>
      </c>
      <c r="AJ15" s="45">
        <f t="shared" si="18"/>
        <v>364341.15</v>
      </c>
      <c r="AK15" s="45">
        <f t="shared" si="18"/>
        <v>4194.290000000001</v>
      </c>
      <c r="AL15" s="45">
        <f t="shared" si="18"/>
        <v>263794.1275</v>
      </c>
      <c r="AM15" s="178">
        <f t="shared" si="18"/>
        <v>4355.577294190007</v>
      </c>
      <c r="AN15" s="202">
        <f t="shared" si="18"/>
        <v>198219.73</v>
      </c>
      <c r="AO15" s="45">
        <f t="shared" si="18"/>
        <v>202575.30729419</v>
      </c>
      <c r="AP15" s="413">
        <f t="shared" si="18"/>
        <v>236400</v>
      </c>
      <c r="AQ15" s="45">
        <f t="shared" si="18"/>
        <v>27770</v>
      </c>
      <c r="AR15" s="45">
        <f t="shared" si="18"/>
        <v>177317.05</v>
      </c>
      <c r="AS15" s="45">
        <f t="shared" si="18"/>
        <v>31312.95</v>
      </c>
      <c r="AT15" s="45">
        <f t="shared" si="18"/>
        <v>231424.31729419</v>
      </c>
      <c r="AU15" s="45">
        <f t="shared" si="18"/>
        <v>253051.67999999996</v>
      </c>
      <c r="AV15" s="178">
        <f t="shared" si="18"/>
        <v>613.8669439893292</v>
      </c>
      <c r="AW15" s="436">
        <f t="shared" si="18"/>
        <v>198382.36000000002</v>
      </c>
      <c r="AX15" s="45">
        <f t="shared" si="18"/>
        <v>985261.1499999999</v>
      </c>
      <c r="AY15" s="45">
        <f t="shared" si="18"/>
        <v>121170.01999999999</v>
      </c>
      <c r="AZ15" s="178">
        <f t="shared" si="18"/>
        <v>613.8669439893292</v>
      </c>
      <c r="BA15" s="45">
        <f t="shared" si="18"/>
        <v>297408.06</v>
      </c>
      <c r="BB15" s="45">
        <f t="shared" si="18"/>
        <v>0</v>
      </c>
      <c r="BC15" s="480">
        <f t="shared" si="18"/>
        <v>298021.92694398935</v>
      </c>
      <c r="BD15" s="45">
        <f t="shared" si="18"/>
        <v>31312.95</v>
      </c>
      <c r="BE15" s="45">
        <f>BE12+BE14</f>
        <v>159734</v>
      </c>
      <c r="BF15" s="45">
        <f>BF12+BF14</f>
        <v>170887.21</v>
      </c>
      <c r="BG15" s="45">
        <f>BG12+BG14</f>
        <v>0</v>
      </c>
      <c r="BH15" s="45">
        <f>BH12+BH14</f>
        <v>20159.74</v>
      </c>
      <c r="BI15" s="45">
        <f t="shared" si="18"/>
        <v>489068.8769439893</v>
      </c>
      <c r="BJ15" s="45">
        <f t="shared" si="18"/>
        <v>3302892.5569439894</v>
      </c>
      <c r="BK15" s="403">
        <f t="shared" si="18"/>
        <v>2813823.68</v>
      </c>
      <c r="BL15" s="403">
        <f t="shared" si="18"/>
        <v>0.002999846423335839</v>
      </c>
    </row>
    <row r="16" spans="1:63" s="44" customFormat="1" ht="25.5" customHeight="1" thickBot="1">
      <c r="A16" s="30"/>
      <c r="B16" s="42"/>
      <c r="C16" s="248" t="s">
        <v>59</v>
      </c>
      <c r="D16" s="247">
        <f>99.36+3671.9</f>
        <v>3771.26</v>
      </c>
      <c r="E16" s="273">
        <v>3771.26</v>
      </c>
      <c r="F16" s="266" t="s">
        <v>37</v>
      </c>
      <c r="G16" s="267">
        <f>F15*100/G15</f>
        <v>20.4952846909014</v>
      </c>
      <c r="H16" s="32"/>
      <c r="I16" s="32"/>
      <c r="J16" s="467" t="s">
        <v>78</v>
      </c>
      <c r="K16" s="468"/>
      <c r="L16" s="268">
        <v>150</v>
      </c>
      <c r="M16" s="286">
        <f>L15+O5+O6+O7+O13</f>
        <v>5708.999999999982</v>
      </c>
      <c r="N16" s="266" t="s">
        <v>37</v>
      </c>
      <c r="O16" s="269">
        <f>M16*100/P15</f>
        <v>2.418210663889677</v>
      </c>
      <c r="P16" s="189"/>
      <c r="Q16" s="189"/>
      <c r="R16" s="238" t="s">
        <v>71</v>
      </c>
      <c r="S16" s="277">
        <v>559650</v>
      </c>
      <c r="T16" s="188"/>
      <c r="U16" s="191" t="s">
        <v>42</v>
      </c>
      <c r="V16" s="196">
        <f>V15</f>
        <v>2.152705809989129</v>
      </c>
      <c r="W16" s="188"/>
      <c r="X16" s="191" t="s">
        <v>42</v>
      </c>
      <c r="Y16" s="196">
        <f>Y15</f>
        <v>73.13999999999942</v>
      </c>
      <c r="Z16" s="188"/>
      <c r="AA16" s="188"/>
      <c r="AB16" s="191" t="s">
        <v>42</v>
      </c>
      <c r="AC16" s="196">
        <f>AC15</f>
        <v>90.29999999999592</v>
      </c>
      <c r="AD16" s="497" t="s">
        <v>107</v>
      </c>
      <c r="AE16" s="465"/>
      <c r="AF16" s="465"/>
      <c r="AG16" s="466"/>
      <c r="AH16" s="188"/>
      <c r="AI16" s="188"/>
      <c r="AJ16" s="191" t="s">
        <v>121</v>
      </c>
      <c r="AK16" s="196">
        <f>AK15+BJ16</f>
        <v>4355.577294190007</v>
      </c>
      <c r="AL16" s="395" t="s">
        <v>37</v>
      </c>
      <c r="AM16" s="396">
        <f>AK16*100/AL12</f>
        <v>1.6511274665088997</v>
      </c>
      <c r="AN16" s="348"/>
      <c r="AO16" s="188"/>
      <c r="AP16" s="188"/>
      <c r="AQ16" s="188"/>
      <c r="AR16" s="188"/>
      <c r="AS16" s="188"/>
      <c r="AT16" s="188"/>
      <c r="AU16" s="188"/>
      <c r="AV16" s="428" t="s">
        <v>144</v>
      </c>
      <c r="AW16" s="434">
        <f>AV15*100/AW15</f>
        <v>0.3094362543067484</v>
      </c>
      <c r="AX16" s="335"/>
      <c r="AY16" s="188"/>
      <c r="AZ16" s="188"/>
      <c r="BA16" s="188"/>
      <c r="BB16" s="188"/>
      <c r="BC16" s="446"/>
      <c r="BD16" s="188"/>
      <c r="BE16" s="188"/>
      <c r="BF16" s="188"/>
      <c r="BG16" s="407"/>
      <c r="BH16" s="407"/>
      <c r="BI16" s="408" t="s">
        <v>119</v>
      </c>
      <c r="BJ16" s="409">
        <f>-V16+Y16+AC16</f>
        <v>161.2872941900062</v>
      </c>
      <c r="BK16" s="407"/>
    </row>
    <row r="17" spans="1:111" s="44" customFormat="1" ht="39" customHeight="1" thickBot="1">
      <c r="A17" s="30"/>
      <c r="B17" s="42"/>
      <c r="C17" s="72"/>
      <c r="D17" s="32"/>
      <c r="E17" s="43"/>
      <c r="F17" s="32"/>
      <c r="G17" s="32"/>
      <c r="H17" s="32"/>
      <c r="I17" s="32"/>
      <c r="J17" s="469" t="s">
        <v>58</v>
      </c>
      <c r="K17" s="470"/>
      <c r="L17" s="247">
        <f>98.25+14336.69+2122.51</f>
        <v>16557.45</v>
      </c>
      <c r="M17" s="32"/>
      <c r="N17" s="284" t="s">
        <v>72</v>
      </c>
      <c r="O17" s="292">
        <f>-(O8+O9+O11)</f>
        <v>24115.219999999987</v>
      </c>
      <c r="P17" s="459" t="s">
        <v>73</v>
      </c>
      <c r="Q17" s="460"/>
      <c r="S17" s="82"/>
      <c r="T17" s="82"/>
      <c r="U17" s="284" t="s">
        <v>80</v>
      </c>
      <c r="V17" s="298">
        <f>-(V8+V9+V11)</f>
        <v>19956.638734842527</v>
      </c>
      <c r="W17" s="303"/>
      <c r="X17" s="284" t="s">
        <v>84</v>
      </c>
      <c r="Y17" s="291">
        <f>-(Y5+Y7+Y8+Y9+Y11)</f>
        <v>14706.079999999998</v>
      </c>
      <c r="Z17" s="315"/>
      <c r="AA17" s="316"/>
      <c r="AB17" s="284" t="s">
        <v>90</v>
      </c>
      <c r="AC17" s="332">
        <f>-(AB11+AB9+AB8+AB7+AB5)</f>
        <v>24132.969999999976</v>
      </c>
      <c r="AD17" s="493" t="s">
        <v>91</v>
      </c>
      <c r="AE17" s="494"/>
      <c r="AF17" s="414" t="s">
        <v>106</v>
      </c>
      <c r="AG17" s="415">
        <f>-(AG5+AG7+AG8+AG9+AG11)</f>
        <v>21909.93</v>
      </c>
      <c r="AH17" s="316"/>
      <c r="AI17" s="316"/>
      <c r="AJ17" s="284" t="s">
        <v>122</v>
      </c>
      <c r="AK17" s="291">
        <f>-(AK5+AK7+AK8+AK9+AK11)</f>
        <v>27073.08</v>
      </c>
      <c r="AL17" s="491" t="s">
        <v>124</v>
      </c>
      <c r="AM17" s="492"/>
      <c r="AN17" s="349"/>
      <c r="AO17" s="316"/>
      <c r="AP17" s="316"/>
      <c r="AQ17" s="316"/>
      <c r="AR17" s="316"/>
      <c r="AS17" s="316"/>
      <c r="AT17" s="316"/>
      <c r="AU17" s="284" t="s">
        <v>143</v>
      </c>
      <c r="AV17" s="424">
        <f>-(AV5+AV7+AV8)</f>
        <v>22241.22964979933</v>
      </c>
      <c r="AW17" s="316"/>
      <c r="AX17" s="336"/>
      <c r="AY17" s="316"/>
      <c r="AZ17" s="316"/>
      <c r="BA17" s="316"/>
      <c r="BB17" s="316"/>
      <c r="BC17" s="447"/>
      <c r="BD17" s="316"/>
      <c r="BE17" s="316"/>
      <c r="BF17" s="316"/>
      <c r="BG17" s="316"/>
      <c r="BH17" s="316"/>
      <c r="BI17" s="316"/>
      <c r="BJ17" s="316"/>
      <c r="BK17" s="316"/>
      <c r="BL17" s="316"/>
      <c r="BM17" s="316"/>
      <c r="BN17" s="316"/>
      <c r="BO17" s="316"/>
      <c r="BP17" s="316"/>
      <c r="BQ17" s="316"/>
      <c r="BR17" s="316"/>
      <c r="BS17" s="316"/>
      <c r="BT17" s="316"/>
      <c r="BU17" s="316"/>
      <c r="BV17" s="316"/>
      <c r="BW17" s="316"/>
      <c r="BX17" s="316"/>
      <c r="BY17" s="316"/>
      <c r="BZ17" s="316"/>
      <c r="CA17" s="316"/>
      <c r="CB17" s="316"/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6"/>
      <c r="CO17" s="316"/>
      <c r="CP17" s="316"/>
      <c r="CQ17" s="316"/>
      <c r="CR17" s="316"/>
      <c r="CS17" s="316"/>
      <c r="CT17" s="316"/>
      <c r="CU17" s="316"/>
      <c r="CV17" s="316"/>
      <c r="CW17" s="316"/>
      <c r="CX17" s="316"/>
      <c r="CY17" s="316"/>
      <c r="CZ17" s="316"/>
      <c r="DA17" s="316"/>
      <c r="DB17" s="316"/>
      <c r="DC17" s="316"/>
      <c r="DD17" s="316"/>
      <c r="DE17" s="316"/>
      <c r="DF17" s="316"/>
      <c r="DG17" s="316"/>
    </row>
    <row r="18" spans="2:64" s="29" customFormat="1" ht="52.5" customHeight="1" thickBot="1">
      <c r="B18" s="63" t="s">
        <v>16</v>
      </c>
      <c r="C18" s="245" t="s">
        <v>44</v>
      </c>
      <c r="D18" s="18" t="s">
        <v>45</v>
      </c>
      <c r="E18" s="38" t="s">
        <v>18</v>
      </c>
      <c r="F18" s="175" t="s">
        <v>46</v>
      </c>
      <c r="G18" s="251"/>
      <c r="H18" s="19" t="s">
        <v>47</v>
      </c>
      <c r="I18" s="173" t="s">
        <v>48</v>
      </c>
      <c r="J18" s="166" t="s">
        <v>49</v>
      </c>
      <c r="K18" s="38" t="s">
        <v>19</v>
      </c>
      <c r="L18" s="78" t="s">
        <v>50</v>
      </c>
      <c r="M18" s="19" t="s">
        <v>51</v>
      </c>
      <c r="N18" s="38" t="s">
        <v>32</v>
      </c>
      <c r="O18" s="78" t="s">
        <v>39</v>
      </c>
      <c r="P18" s="295" t="s">
        <v>76</v>
      </c>
      <c r="Q18" s="295" t="s">
        <v>77</v>
      </c>
      <c r="R18" s="256" t="s">
        <v>53</v>
      </c>
      <c r="S18" s="186" t="s">
        <v>67</v>
      </c>
      <c r="T18" s="179" t="s">
        <v>40</v>
      </c>
      <c r="U18" s="100" t="s">
        <v>33</v>
      </c>
      <c r="V18" s="78" t="s">
        <v>41</v>
      </c>
      <c r="W18" s="270" t="s">
        <v>68</v>
      </c>
      <c r="X18" s="100" t="s">
        <v>34</v>
      </c>
      <c r="Y18" s="78" t="s">
        <v>43</v>
      </c>
      <c r="Z18" s="271" t="s">
        <v>69</v>
      </c>
      <c r="AA18" s="112" t="s">
        <v>35</v>
      </c>
      <c r="AB18" s="211" t="s">
        <v>89</v>
      </c>
      <c r="AC18" s="78" t="s">
        <v>87</v>
      </c>
      <c r="AD18" s="326" t="s">
        <v>66</v>
      </c>
      <c r="AE18" s="320" t="s">
        <v>88</v>
      </c>
      <c r="AF18" s="112" t="s">
        <v>104</v>
      </c>
      <c r="AG18" s="376" t="s">
        <v>105</v>
      </c>
      <c r="AH18" s="352" t="s">
        <v>99</v>
      </c>
      <c r="AI18" s="320" t="s">
        <v>95</v>
      </c>
      <c r="AJ18" s="112" t="s">
        <v>116</v>
      </c>
      <c r="AK18" s="376" t="s">
        <v>117</v>
      </c>
      <c r="AL18" s="78"/>
      <c r="AM18" s="391" t="s">
        <v>118</v>
      </c>
      <c r="AN18" s="216" t="s">
        <v>96</v>
      </c>
      <c r="AO18" s="386" t="s">
        <v>120</v>
      </c>
      <c r="AP18" s="352" t="s">
        <v>125</v>
      </c>
      <c r="AQ18" s="410" t="s">
        <v>126</v>
      </c>
      <c r="AR18" s="410" t="s">
        <v>127</v>
      </c>
      <c r="AS18" s="410" t="s">
        <v>128</v>
      </c>
      <c r="AT18" s="411" t="s">
        <v>129</v>
      </c>
      <c r="AU18" s="112" t="s">
        <v>136</v>
      </c>
      <c r="AV18" s="376" t="s">
        <v>137</v>
      </c>
      <c r="AW18" s="427" t="s">
        <v>113</v>
      </c>
      <c r="AX18" s="425" t="s">
        <v>140</v>
      </c>
      <c r="AY18" s="320" t="s">
        <v>97</v>
      </c>
      <c r="AZ18" s="175" t="s">
        <v>138</v>
      </c>
      <c r="BA18" s="411" t="s">
        <v>130</v>
      </c>
      <c r="BB18" s="320" t="s">
        <v>98</v>
      </c>
      <c r="BC18" s="477" t="s">
        <v>139</v>
      </c>
      <c r="BD18" s="411" t="s">
        <v>151</v>
      </c>
      <c r="BE18" s="352" t="s">
        <v>147</v>
      </c>
      <c r="BF18" s="477" t="s">
        <v>148</v>
      </c>
      <c r="BG18" s="320" t="s">
        <v>101</v>
      </c>
      <c r="BH18" s="477" t="s">
        <v>149</v>
      </c>
      <c r="BI18" s="338" t="s">
        <v>150</v>
      </c>
      <c r="BJ18" s="377" t="s">
        <v>108</v>
      </c>
      <c r="BK18" s="362" t="s">
        <v>141</v>
      </c>
      <c r="BL18" s="123" t="s">
        <v>145</v>
      </c>
    </row>
    <row r="19" spans="2:64" s="29" customFormat="1" ht="43.5" customHeight="1" thickBot="1">
      <c r="B19" s="64" t="s">
        <v>13</v>
      </c>
      <c r="C19" s="246" t="e">
        <f>C15+#REF!</f>
        <v>#REF!</v>
      </c>
      <c r="D19" s="65" t="e">
        <f>D15+#REF!-D20</f>
        <v>#REF!</v>
      </c>
      <c r="E19" s="66" t="e">
        <f>E15+#REF!</f>
        <v>#REF!</v>
      </c>
      <c r="F19" s="76" t="e">
        <f>F15+#REF!</f>
        <v>#REF!</v>
      </c>
      <c r="G19" s="172"/>
      <c r="H19" s="103" t="e">
        <f>H15+#REF!</f>
        <v>#REF!</v>
      </c>
      <c r="I19" s="88" t="e">
        <f>I15+#REF!</f>
        <v>#REF!</v>
      </c>
      <c r="J19" s="174" t="e">
        <f>J15+#REF!</f>
        <v>#REF!</v>
      </c>
      <c r="K19" s="66" t="e">
        <f>K15+#REF!</f>
        <v>#REF!</v>
      </c>
      <c r="L19" s="81" t="e">
        <f>L15+#REF!</f>
        <v>#REF!</v>
      </c>
      <c r="M19" s="67" t="e">
        <f>M15+#REF!</f>
        <v>#REF!</v>
      </c>
      <c r="N19" s="87" t="e">
        <f>N15+#REF!</f>
        <v>#REF!</v>
      </c>
      <c r="O19" s="88" t="e">
        <f>M16+#REF!</f>
        <v>#REF!</v>
      </c>
      <c r="P19" s="103"/>
      <c r="Q19" s="190" t="e">
        <f>Q15+#REF!</f>
        <v>#REF!</v>
      </c>
      <c r="R19" s="94">
        <f>R15+'R-suplimNOV'!R21</f>
        <v>1681902.33</v>
      </c>
      <c r="S19" s="103" t="e">
        <f>S15+#REF!</f>
        <v>#REF!</v>
      </c>
      <c r="T19" s="181" t="e">
        <f>T15+#REF!</f>
        <v>#REF!</v>
      </c>
      <c r="U19" s="104" t="e">
        <f>U15+#REF!</f>
        <v>#REF!</v>
      </c>
      <c r="V19" s="190" t="e">
        <f>V15+#REF!</f>
        <v>#REF!</v>
      </c>
      <c r="W19" s="53" t="e">
        <f>W15+#REF!</f>
        <v>#REF!</v>
      </c>
      <c r="X19" s="104" t="e">
        <f>X15+#REF!</f>
        <v>#REF!</v>
      </c>
      <c r="Y19" s="190" t="e">
        <f>Y15+#REF!</f>
        <v>#REF!</v>
      </c>
      <c r="Z19" s="103" t="e">
        <f>Z15+#REF!</f>
        <v>#REF!</v>
      </c>
      <c r="AA19" s="214" t="e">
        <f>AA15+#REF!</f>
        <v>#REF!</v>
      </c>
      <c r="AB19" s="275" t="e">
        <f>AC17+#REF!</f>
        <v>#REF!</v>
      </c>
      <c r="AC19" s="88" t="e">
        <f>AC15+#REF!</f>
        <v>#REF!</v>
      </c>
      <c r="AD19" s="280">
        <f>AD15+'R-suplimNOV'!AC21</f>
        <v>1800481.2</v>
      </c>
      <c r="AE19" s="229" t="e">
        <f>AE15+#REF!</f>
        <v>#REF!</v>
      </c>
      <c r="AF19" s="379" t="e">
        <f>AF15+#REF!</f>
        <v>#REF!</v>
      </c>
      <c r="AG19" s="380" t="e">
        <f>AG15+#REF!</f>
        <v>#REF!</v>
      </c>
      <c r="AH19" s="357" t="e">
        <f>AH15+#REF!</f>
        <v>#REF!</v>
      </c>
      <c r="AI19" s="334" t="e">
        <f>AI15+#REF!</f>
        <v>#REF!</v>
      </c>
      <c r="AJ19" s="379" t="e">
        <f>AJ15+#REF!</f>
        <v>#REF!</v>
      </c>
      <c r="AK19" s="334" t="e">
        <f>AK16+#REF!</f>
        <v>#REF!</v>
      </c>
      <c r="AL19" s="334"/>
      <c r="AM19" s="389" t="e">
        <f>AM15+#REF!</f>
        <v>#REF!</v>
      </c>
      <c r="AN19" s="334" t="e">
        <f>AN15+#REF!</f>
        <v>#REF!</v>
      </c>
      <c r="AO19" s="389" t="e">
        <f>AO15+#REF!</f>
        <v>#REF!</v>
      </c>
      <c r="AP19" s="357" t="e">
        <f>AP15+#REF!</f>
        <v>#REF!</v>
      </c>
      <c r="AQ19" s="334" t="e">
        <f>AQ15+#REF!</f>
        <v>#REF!</v>
      </c>
      <c r="AR19" s="334" t="e">
        <f>AR15+#REF!</f>
        <v>#REF!</v>
      </c>
      <c r="AS19" s="334" t="e">
        <f>AS15+#REF!</f>
        <v>#REF!</v>
      </c>
      <c r="AT19" s="430" t="e">
        <f>AT15+#REF!</f>
        <v>#REF!</v>
      </c>
      <c r="AU19" s="379" t="e">
        <f>AU15+#REF!</f>
        <v>#REF!</v>
      </c>
      <c r="AV19" s="380" t="e">
        <f>AV15+#REF!</f>
        <v>#REF!</v>
      </c>
      <c r="AW19" s="334"/>
      <c r="AX19" s="431">
        <f>AX15+'R-suplimNOV'!AZ21</f>
        <v>1825152.15</v>
      </c>
      <c r="AY19" s="334" t="e">
        <f>AY15+#REF!</f>
        <v>#REF!</v>
      </c>
      <c r="AZ19" s="380" t="e">
        <f>AZ15+#REF!</f>
        <v>#REF!</v>
      </c>
      <c r="BA19" s="419" t="e">
        <f>BA15+#REF!</f>
        <v>#REF!</v>
      </c>
      <c r="BB19" s="334" t="e">
        <f>BB15+#REF!</f>
        <v>#REF!</v>
      </c>
      <c r="BC19" s="481">
        <f>BC15+'R-suplimNOV'!BD21</f>
        <v>479102.1625537977</v>
      </c>
      <c r="BD19" s="419">
        <f>BD15+'R-suplimNOV'!BE21</f>
        <v>38410.34000000001</v>
      </c>
      <c r="BE19" s="357">
        <f>BE15+'R-suplimNOV'!BG21</f>
        <v>266223</v>
      </c>
      <c r="BF19" s="481">
        <f>BF15+'R-suplimNOV'!BH21</f>
        <v>317340.48</v>
      </c>
      <c r="BG19" s="281">
        <f>BG15+'R-suplimNOV'!BI21</f>
        <v>0</v>
      </c>
      <c r="BH19" s="481">
        <f>BH15+'R-suplimNOV'!BJ21</f>
        <v>64660.89</v>
      </c>
      <c r="BI19" s="432">
        <f>BI15+'R-suplimNOV'!BK21</f>
        <v>861103.5325537976</v>
      </c>
      <c r="BJ19" s="356">
        <f>BJ15+'R-suplimNOV'!BL21</f>
        <v>6168639.212553797</v>
      </c>
      <c r="BK19" s="443">
        <f>BK15+'R-suplimNOV'!BM21</f>
        <v>5307535.68</v>
      </c>
      <c r="BL19" s="193" t="e">
        <f>BL15+#REF!</f>
        <v>#REF!</v>
      </c>
    </row>
    <row r="20" spans="3:63" ht="33" customHeight="1" thickBot="1">
      <c r="C20" s="248" t="s">
        <v>60</v>
      </c>
      <c r="D20" s="247" t="e">
        <f>D16+#REF!</f>
        <v>#REF!</v>
      </c>
      <c r="E20" s="27" t="s">
        <v>56</v>
      </c>
      <c r="F20" s="27"/>
      <c r="G20" s="27"/>
      <c r="H20" s="27"/>
      <c r="I20" s="27"/>
      <c r="J20" s="469" t="s">
        <v>65</v>
      </c>
      <c r="K20" s="470"/>
      <c r="L20" s="254" t="e">
        <f>L17+#REF!</f>
        <v>#REF!</v>
      </c>
      <c r="M20" s="461" t="s">
        <v>74</v>
      </c>
      <c r="N20" s="462"/>
      <c r="O20" s="291" t="e">
        <f>O17+#REF!</f>
        <v>#REF!</v>
      </c>
      <c r="P20" s="463" t="s">
        <v>75</v>
      </c>
      <c r="Q20" s="464"/>
      <c r="R20" s="283"/>
      <c r="S20" s="111">
        <f>559650+373100</f>
        <v>932750</v>
      </c>
      <c r="U20" s="284" t="s">
        <v>80</v>
      </c>
      <c r="V20" s="191" t="s">
        <v>42</v>
      </c>
      <c r="W20" s="88" t="e">
        <f>V16+#REF!</f>
        <v>#REF!</v>
      </c>
      <c r="X20" s="284" t="s">
        <v>84</v>
      </c>
      <c r="Y20" s="254" t="e">
        <f>Y17+#REF!</f>
        <v>#REF!</v>
      </c>
      <c r="AD20" s="370"/>
      <c r="AE20" s="319"/>
      <c r="AF20" s="284" t="s">
        <v>106</v>
      </c>
      <c r="AG20" s="402" t="e">
        <f>AG17+#REF!</f>
        <v>#REF!</v>
      </c>
      <c r="AH20" s="319"/>
      <c r="AI20" s="319"/>
      <c r="AJ20" s="284" t="s">
        <v>122</v>
      </c>
      <c r="AK20" s="254" t="e">
        <f>AK17+#REF!</f>
        <v>#REF!</v>
      </c>
      <c r="AL20" s="319"/>
      <c r="AM20" s="319"/>
      <c r="AN20" s="350"/>
      <c r="AO20" s="319"/>
      <c r="AP20" s="319"/>
      <c r="AQ20" s="319"/>
      <c r="AR20" s="319"/>
      <c r="AS20" s="319"/>
      <c r="AT20" s="319"/>
      <c r="AU20" s="284" t="s">
        <v>143</v>
      </c>
      <c r="AV20" s="254" t="e">
        <f>AV17+#REF!</f>
        <v>#REF!</v>
      </c>
      <c r="AW20" s="319"/>
      <c r="AX20" s="337"/>
      <c r="AY20" s="319"/>
      <c r="AZ20" s="319"/>
      <c r="BA20" s="319"/>
      <c r="BB20" s="319"/>
      <c r="BC20" s="448"/>
      <c r="BD20" s="319"/>
      <c r="BE20" s="319"/>
      <c r="BF20" s="319"/>
      <c r="BG20" s="319"/>
      <c r="BH20" s="471"/>
      <c r="BI20" s="437" t="s">
        <v>103</v>
      </c>
      <c r="BJ20" s="441">
        <f>BJ19-R28</f>
        <v>-10.78744620271027</v>
      </c>
      <c r="BK20" s="498"/>
    </row>
    <row r="21" spans="2:63" ht="36" customHeight="1" hidden="1" thickBot="1">
      <c r="B21" s="207" t="s">
        <v>62</v>
      </c>
      <c r="C21" s="208">
        <v>1398000</v>
      </c>
      <c r="D21" s="227"/>
      <c r="E21" s="275" t="e">
        <f>E16+#REF!</f>
        <v>#REF!</v>
      </c>
      <c r="F21" s="227"/>
      <c r="G21" s="227"/>
      <c r="H21" s="227"/>
      <c r="I21" s="227"/>
      <c r="J21" s="252" t="s">
        <v>65</v>
      </c>
      <c r="K21" s="265" t="s">
        <v>63</v>
      </c>
      <c r="L21" s="253"/>
      <c r="M21" s="253"/>
      <c r="N21" s="253"/>
      <c r="O21" s="253"/>
      <c r="P21" s="253"/>
      <c r="Q21" s="253"/>
      <c r="R21" s="254" t="e">
        <f>D20+L20+O20+U21</f>
        <v>#REF!</v>
      </c>
      <c r="U21" s="275" t="e">
        <f>V17+#REF!</f>
        <v>#REF!</v>
      </c>
      <c r="V21" s="495" t="s">
        <v>83</v>
      </c>
      <c r="W21" s="496"/>
      <c r="X21" s="191" t="s">
        <v>85</v>
      </c>
      <c r="Y21" s="264" t="e">
        <f>Y16+#REF!</f>
        <v>#REF!</v>
      </c>
      <c r="AB21" s="191" t="s">
        <v>93</v>
      </c>
      <c r="AC21" s="264" t="e">
        <f>AC19</f>
        <v>#REF!</v>
      </c>
      <c r="AD21" s="229"/>
      <c r="AE21" s="319"/>
      <c r="AF21" s="319"/>
      <c r="AG21" s="319"/>
      <c r="AH21" s="319"/>
      <c r="AI21" s="319"/>
      <c r="AJ21" s="319"/>
      <c r="AK21" s="319"/>
      <c r="AL21" s="319"/>
      <c r="AM21" s="319"/>
      <c r="AN21" s="350"/>
      <c r="AO21" s="319"/>
      <c r="AP21" s="319"/>
      <c r="AQ21" s="319"/>
      <c r="AR21" s="319"/>
      <c r="AS21" s="319"/>
      <c r="AT21" s="319"/>
      <c r="AU21" s="319"/>
      <c r="AV21" s="319"/>
      <c r="AW21" s="319"/>
      <c r="AX21" s="337"/>
      <c r="AY21" s="319"/>
      <c r="AZ21" s="319"/>
      <c r="BA21" s="319"/>
      <c r="BB21" s="319"/>
      <c r="BC21" s="448"/>
      <c r="BD21" s="319"/>
      <c r="BE21" s="319"/>
      <c r="BF21" s="319"/>
      <c r="BG21" s="319"/>
      <c r="BH21" s="37"/>
      <c r="BI21" s="440" t="s">
        <v>146</v>
      </c>
      <c r="BJ21" s="442">
        <v>5135650</v>
      </c>
      <c r="BK21" s="444">
        <f>BK19-BJ21</f>
        <v>171885.6799999997</v>
      </c>
    </row>
    <row r="22" spans="2:63" ht="25.5" customHeight="1" hidden="1" thickBot="1">
      <c r="B22" s="209"/>
      <c r="C22" s="210">
        <v>466000</v>
      </c>
      <c r="D22" s="228"/>
      <c r="E22" s="228"/>
      <c r="F22" s="228"/>
      <c r="G22" s="228"/>
      <c r="H22" s="228"/>
      <c r="I22" s="228"/>
      <c r="J22" s="263" t="s">
        <v>61</v>
      </c>
      <c r="K22" s="264" t="e">
        <f>L16+#REF!</f>
        <v>#REF!</v>
      </c>
      <c r="L22" s="228"/>
      <c r="M22" s="228"/>
      <c r="N22" s="228"/>
      <c r="O22" s="228"/>
      <c r="P22" s="228"/>
      <c r="Q22" s="228"/>
      <c r="R22" s="223"/>
      <c r="AB22" s="331" t="s">
        <v>94</v>
      </c>
      <c r="AC22" s="330" t="e">
        <f>Y21+AC21</f>
        <v>#REF!</v>
      </c>
      <c r="AD22" s="114"/>
      <c r="AE22" s="37"/>
      <c r="AF22" s="37"/>
      <c r="AG22" s="37"/>
      <c r="AH22" s="37"/>
      <c r="AI22" s="37"/>
      <c r="AJ22" s="37"/>
      <c r="AK22" s="37"/>
      <c r="AL22" s="37"/>
      <c r="AM22" s="37"/>
      <c r="AN22" s="351"/>
      <c r="AO22" s="37"/>
      <c r="AP22" s="37"/>
      <c r="AQ22" s="37"/>
      <c r="AR22" s="37"/>
      <c r="AS22" s="37"/>
      <c r="AT22" s="421" t="s">
        <v>132</v>
      </c>
      <c r="AU22" s="423"/>
      <c r="AV22" s="423"/>
      <c r="AW22" s="423"/>
      <c r="AX22" s="422">
        <f>R19+AD19+AX19</f>
        <v>5307535.68</v>
      </c>
      <c r="AY22" s="37"/>
      <c r="AZ22" s="37"/>
      <c r="BA22" s="490"/>
      <c r="BB22" s="490"/>
      <c r="BC22" s="449"/>
      <c r="BD22" s="139"/>
      <c r="BE22" s="139"/>
      <c r="BF22" s="139"/>
      <c r="BG22" s="139"/>
      <c r="BH22" s="139"/>
      <c r="BI22" s="438" t="s">
        <v>134</v>
      </c>
      <c r="BJ22" s="439">
        <f>BI19</f>
        <v>861103.5325537976</v>
      </c>
      <c r="BK22" s="43" t="e">
        <f>BK21-AV20</f>
        <v>#REF!</v>
      </c>
    </row>
    <row r="23" spans="2:63" ht="25.5" customHeight="1" hidden="1" thickBot="1">
      <c r="B23" s="219"/>
      <c r="C23" s="225"/>
      <c r="D23" s="222"/>
      <c r="E23" s="222"/>
      <c r="F23" s="222"/>
      <c r="G23" s="222"/>
      <c r="H23" s="222"/>
      <c r="I23" s="222"/>
      <c r="J23" s="222"/>
      <c r="K23" s="222"/>
      <c r="L23" s="222"/>
      <c r="M23" s="222" t="s">
        <v>64</v>
      </c>
      <c r="N23" s="222"/>
      <c r="O23" s="222"/>
      <c r="P23" s="222"/>
      <c r="Q23" s="222"/>
      <c r="R23" s="225" t="e">
        <f>C21+R21-K22</f>
        <v>#REF!</v>
      </c>
      <c r="AD23" s="114"/>
      <c r="AE23" s="37"/>
      <c r="AF23" s="37"/>
      <c r="AG23" s="37"/>
      <c r="AH23" s="37"/>
      <c r="AI23" s="37"/>
      <c r="AJ23" s="37"/>
      <c r="AK23" s="37"/>
      <c r="AL23" s="37"/>
      <c r="AM23" s="37"/>
      <c r="AN23" s="351"/>
      <c r="AO23" s="37"/>
      <c r="AP23" s="37"/>
      <c r="AQ23" s="37"/>
      <c r="AR23" s="37"/>
      <c r="AS23" s="37"/>
      <c r="AT23" s="229" t="s">
        <v>133</v>
      </c>
      <c r="AU23" s="224"/>
      <c r="AV23" s="224"/>
      <c r="AW23" s="224"/>
      <c r="AX23" s="422">
        <v>5135650</v>
      </c>
      <c r="AY23" s="86"/>
      <c r="AZ23" s="86"/>
      <c r="BA23" s="86"/>
      <c r="BB23" s="86"/>
      <c r="BC23" s="218"/>
      <c r="BD23" s="86"/>
      <c r="BE23" s="86"/>
      <c r="BF23" s="86"/>
      <c r="BG23" s="86"/>
      <c r="BH23" s="86"/>
      <c r="BI23" s="229" t="s">
        <v>133</v>
      </c>
      <c r="BJ23" s="420">
        <v>667000</v>
      </c>
      <c r="BK23" s="313"/>
    </row>
    <row r="24" spans="2:63" ht="25.5" customHeight="1" hidden="1" thickBot="1">
      <c r="B24" s="259"/>
      <c r="C24" s="282">
        <v>3070000</v>
      </c>
      <c r="D24" s="226"/>
      <c r="E24" s="311">
        <v>3186320</v>
      </c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33"/>
      <c r="AD24" s="127"/>
      <c r="AE24" s="37"/>
      <c r="AF24" s="37"/>
      <c r="AG24" s="37"/>
      <c r="AH24" s="37"/>
      <c r="AI24" s="37"/>
      <c r="AJ24" s="37"/>
      <c r="AK24" s="37"/>
      <c r="AL24" s="37"/>
      <c r="AM24" s="37"/>
      <c r="AN24" s="351"/>
      <c r="AO24" s="37"/>
      <c r="AP24" s="37"/>
      <c r="AQ24" s="37"/>
      <c r="AR24" s="37"/>
      <c r="AS24" s="37"/>
      <c r="AT24" s="37" t="s">
        <v>135</v>
      </c>
      <c r="AU24" s="37"/>
      <c r="AV24" s="37"/>
      <c r="AW24" s="37"/>
      <c r="AX24" s="149">
        <f>AX22-AX23</f>
        <v>171885.6799999997</v>
      </c>
      <c r="AY24" s="86"/>
      <c r="AZ24" s="86"/>
      <c r="BA24" s="86"/>
      <c r="BB24" s="86"/>
      <c r="BC24" s="218"/>
      <c r="BD24" s="86"/>
      <c r="BE24" s="86"/>
      <c r="BF24" s="86"/>
      <c r="BG24" s="86"/>
      <c r="BH24" s="86"/>
      <c r="BI24" s="86"/>
      <c r="BJ24" s="150">
        <f>BJ22-BJ23</f>
        <v>194103.5325537976</v>
      </c>
      <c r="BK24" s="37"/>
    </row>
    <row r="25" spans="2:63" ht="19.5" customHeight="1" hidden="1" thickBot="1">
      <c r="B25" s="259"/>
      <c r="C25" s="317">
        <v>72293.07</v>
      </c>
      <c r="D25" s="318"/>
      <c r="E25" s="318">
        <v>3323950</v>
      </c>
      <c r="R25" s="2"/>
      <c r="AD25" s="127"/>
      <c r="AE25" s="37"/>
      <c r="AF25" s="37"/>
      <c r="AG25" s="37"/>
      <c r="AH25" s="37"/>
      <c r="AI25" s="37"/>
      <c r="AJ25" s="37"/>
      <c r="AK25" s="37"/>
      <c r="AL25" s="37"/>
      <c r="AM25" s="37"/>
      <c r="AN25" s="351"/>
      <c r="AO25" s="37"/>
      <c r="AP25" s="37"/>
      <c r="AQ25" s="37"/>
      <c r="AR25" s="37"/>
      <c r="AS25" s="37"/>
      <c r="AT25" s="37"/>
      <c r="AU25" s="37"/>
      <c r="AV25" s="37"/>
      <c r="AW25" s="37"/>
      <c r="AX25" s="149"/>
      <c r="AY25" s="86"/>
      <c r="AZ25" s="86"/>
      <c r="BA25" s="86"/>
      <c r="BB25" s="86"/>
      <c r="BC25" s="218"/>
      <c r="BD25" s="86"/>
      <c r="BE25" s="86"/>
      <c r="BF25" s="86"/>
      <c r="BG25" s="86"/>
      <c r="BH25" s="86"/>
      <c r="BI25" s="86"/>
      <c r="BJ25" s="150"/>
      <c r="BK25" s="37"/>
    </row>
    <row r="26" spans="2:63" ht="25.5" customHeight="1" hidden="1" thickBot="1">
      <c r="B26" s="328"/>
      <c r="C26" s="329">
        <v>3982180</v>
      </c>
      <c r="R26" s="205">
        <v>3982180</v>
      </c>
      <c r="AD26" s="127"/>
      <c r="AE26" s="37"/>
      <c r="AF26" s="37"/>
      <c r="AG26" s="37"/>
      <c r="AH26" s="37"/>
      <c r="AI26" s="37"/>
      <c r="AJ26" s="37"/>
      <c r="AK26" s="37"/>
      <c r="AL26" s="37"/>
      <c r="AM26" s="37"/>
      <c r="AN26" s="351"/>
      <c r="AO26" s="37"/>
      <c r="AP26" s="37"/>
      <c r="AQ26" s="37"/>
      <c r="AR26" s="37"/>
      <c r="AS26" s="37"/>
      <c r="AT26" s="37"/>
      <c r="AU26" s="37"/>
      <c r="AV26" s="37"/>
      <c r="AW26" s="37"/>
      <c r="AX26" s="119"/>
      <c r="AY26" s="37"/>
      <c r="AZ26" s="37"/>
      <c r="BA26" s="37"/>
      <c r="BB26" s="37"/>
      <c r="BC26" s="218"/>
      <c r="BD26" s="37"/>
      <c r="BE26" s="37"/>
      <c r="BF26" s="37"/>
      <c r="BG26" s="37"/>
      <c r="BH26" s="37"/>
      <c r="BI26" s="37"/>
      <c r="BJ26" s="312"/>
      <c r="BK26" s="314"/>
    </row>
    <row r="27" spans="2:63" ht="15" customHeight="1" thickBot="1">
      <c r="B27" s="259"/>
      <c r="C27" s="363">
        <f>C24+C25</f>
        <v>3142293.07</v>
      </c>
      <c r="D27" s="364"/>
      <c r="E27" s="365">
        <f>E25+550000</f>
        <v>3873950</v>
      </c>
      <c r="AD27" s="127"/>
      <c r="AE27" s="37"/>
      <c r="AF27" s="37"/>
      <c r="AG27" s="37"/>
      <c r="AH27" s="37"/>
      <c r="AI27" s="37"/>
      <c r="AJ27" s="37"/>
      <c r="AK27" s="37"/>
      <c r="AL27" s="37"/>
      <c r="AM27" s="37"/>
      <c r="AN27" s="351"/>
      <c r="AO27" s="37"/>
      <c r="AP27" s="37"/>
      <c r="AQ27" s="37"/>
      <c r="AR27" s="37"/>
      <c r="AS27" s="37"/>
      <c r="AT27" s="37"/>
      <c r="AU27" s="37"/>
      <c r="AV27" s="37"/>
      <c r="AW27" s="37"/>
      <c r="AX27" s="119"/>
      <c r="AY27" s="37"/>
      <c r="AZ27" s="37"/>
      <c r="BA27" s="37"/>
      <c r="BB27" s="37"/>
      <c r="BC27" s="218"/>
      <c r="BD27" s="37"/>
      <c r="BE27" s="37"/>
      <c r="BF27" s="37"/>
      <c r="BG27" s="37"/>
      <c r="BH27" s="37"/>
      <c r="BI27" s="37"/>
      <c r="BJ27" s="312"/>
      <c r="BK27" s="127"/>
    </row>
    <row r="28" spans="2:62" ht="25.5" customHeight="1" thickBot="1">
      <c r="B28" s="366" t="s">
        <v>102</v>
      </c>
      <c r="C28" s="367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9">
        <v>6168650</v>
      </c>
      <c r="BJ28" s="401">
        <v>44504</v>
      </c>
    </row>
  </sheetData>
  <sheetProtection/>
  <mergeCells count="11">
    <mergeCell ref="AD16:AG16"/>
    <mergeCell ref="J16:K16"/>
    <mergeCell ref="J17:K17"/>
    <mergeCell ref="J20:K20"/>
    <mergeCell ref="P17:Q17"/>
    <mergeCell ref="M20:N20"/>
    <mergeCell ref="P20:Q20"/>
    <mergeCell ref="BA22:BB22"/>
    <mergeCell ref="AL17:AM17"/>
    <mergeCell ref="AD17:AE17"/>
    <mergeCell ref="V21:W21"/>
  </mergeCells>
  <printOptions/>
  <pageMargins left="0.16" right="0.16" top="0.48" bottom="0.21" header="0.68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marinela.ichim</cp:lastModifiedBy>
  <cp:lastPrinted>2021-11-04T15:03:26Z</cp:lastPrinted>
  <dcterms:created xsi:type="dcterms:W3CDTF">2010-05-25T05:24:31Z</dcterms:created>
  <dcterms:modified xsi:type="dcterms:W3CDTF">2021-11-08T07:55:07Z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