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784" activeTab="1"/>
  </bookViews>
  <sheets>
    <sheet name="AN2022 final-R" sheetId="1" r:id="rId1"/>
    <sheet name="AN2022 final-L" sheetId="2" r:id="rId2"/>
  </sheets>
  <definedNames>
    <definedName name="_xlnm.Print_Titles" localSheetId="1">'AN2022 final-L'!$4:$4</definedName>
    <definedName name="_xlnm.Print_Titles" localSheetId="0">'AN2022 final-R'!$4:$4</definedName>
    <definedName name="_xlnm.Print_Area" localSheetId="1">'AN2022 final-L'!$A$1:$BV$35</definedName>
    <definedName name="_xlnm.Print_Area" localSheetId="0">'AN2022 final-R'!$A$1:$BX$26</definedName>
  </definedNames>
  <calcPr fullCalcOnLoad="1"/>
</workbook>
</file>

<file path=xl/sharedStrings.xml><?xml version="1.0" encoding="utf-8"?>
<sst xmlns="http://schemas.openxmlformats.org/spreadsheetml/2006/main" count="317" uniqueCount="163">
  <si>
    <t xml:space="preserve">Furnizor </t>
  </si>
  <si>
    <t>TOTAL RADIOLOGIE</t>
  </si>
  <si>
    <t>TOTAL I - analize laborator</t>
  </si>
  <si>
    <t>TOTAL II - anatomo-patologie</t>
  </si>
  <si>
    <t>TOTAL I+II - LABORATOARE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</si>
  <si>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</si>
  <si>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</si>
  <si>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</si>
  <si>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</si>
  <si>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</si>
  <si>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</si>
  <si>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</si>
  <si>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</si>
  <si>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</si>
  <si>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</si>
  <si>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</si>
  <si>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</si>
  <si>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</si>
  <si>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</si>
  <si>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</si>
  <si>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</si>
  <si>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</si>
  <si>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</si>
  <si>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</si>
  <si>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</si>
  <si>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</si>
  <si>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MEDCENTER - punct de lucru BRAILA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</si>
  <si>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</si>
  <si>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</si>
  <si>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</si>
  <si>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</si>
  <si>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</si>
  <si>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Medie realizari 13 luni (pt cei ce au realizat ctr)</t>
  </si>
  <si>
    <t>% pt Reg=</t>
  </si>
  <si>
    <t>ANEXA 1</t>
  </si>
  <si>
    <t>Suma nerealizata FEB2021 (cu - in SIUI)</t>
  </si>
  <si>
    <t>suplim Monitor=</t>
  </si>
  <si>
    <t xml:space="preserve">Rezerva = </t>
  </si>
  <si>
    <t>Verificare =</t>
  </si>
  <si>
    <t>TOTAL RADIOLOGIE-IMAGISTICA</t>
  </si>
  <si>
    <t>Pentru regularizare =</t>
  </si>
  <si>
    <t>Suma nerealizata MAR2021(cu - in SIUI)</t>
  </si>
  <si>
    <t>SC NEWVITALCLINIC SRL</t>
  </si>
  <si>
    <t xml:space="preserve">AN 2021 REALIZAT final </t>
  </si>
  <si>
    <t>IAN2022</t>
  </si>
  <si>
    <t>Suma nerealizata IAN2022 (cu - in SIUI)</t>
  </si>
  <si>
    <t>FEB2022</t>
  </si>
  <si>
    <t>REG dupa IAN2022</t>
  </si>
  <si>
    <t>FEB reg dupa IAN2022</t>
  </si>
  <si>
    <t xml:space="preserve">TRIM I 2022 </t>
  </si>
  <si>
    <t>Monitorizari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</si>
  <si>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2022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</si>
  <si>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2022</t>
    </r>
  </si>
  <si>
    <t>din care Covid=8110,98 /Onco=89579,15/ Diab=5007,76lei</t>
  </si>
  <si>
    <t xml:space="preserve">Monitorizari = </t>
  </si>
  <si>
    <t>TOTAL Monitorizari IAN2022   =</t>
  </si>
  <si>
    <t>Medie realizari 14 luni (pt cei ce au realizat ctr)</t>
  </si>
  <si>
    <t>REG dupa FEB2022</t>
  </si>
  <si>
    <t>MAR reg dupa FEB</t>
  </si>
  <si>
    <t>TOTAL Monitorizari FEB2022   =</t>
  </si>
  <si>
    <t xml:space="preserve">CONTRACTAT pt TRIM I 2022= </t>
  </si>
  <si>
    <t>TOTAL 2022 pt Monit</t>
  </si>
  <si>
    <t>Suma nerealizata FEB2022 (cu - in SIUI)</t>
  </si>
  <si>
    <t>MAR2022</t>
  </si>
  <si>
    <t>Suma nerealizata MAR2022(cu - in SIUI)</t>
  </si>
  <si>
    <t>APR2022</t>
  </si>
  <si>
    <t xml:space="preserve">TRIM II 2022 </t>
  </si>
  <si>
    <t>MAI2022</t>
  </si>
  <si>
    <t>IUN2022</t>
  </si>
  <si>
    <t>REZERVA=</t>
  </si>
  <si>
    <t>TOTAL Monitorizari MAR2022   =</t>
  </si>
  <si>
    <t>APR realizat</t>
  </si>
  <si>
    <t>Suma nerealizata APR2022(cu - in SIUI)</t>
  </si>
  <si>
    <t>MAI-DEC</t>
  </si>
  <si>
    <t>AUG2022</t>
  </si>
  <si>
    <t>IUL2022</t>
  </si>
  <si>
    <t>SEP2022</t>
  </si>
  <si>
    <t>OCT2022</t>
  </si>
  <si>
    <t>NOV2022</t>
  </si>
  <si>
    <t>DEC2022</t>
  </si>
  <si>
    <t xml:space="preserve">Economii Radiologie= </t>
  </si>
  <si>
    <t xml:space="preserve">TRIM I 2022 - realizat </t>
  </si>
  <si>
    <t>MAI 2022</t>
  </si>
  <si>
    <t>IUN 2022</t>
  </si>
  <si>
    <t>IUL 2022</t>
  </si>
  <si>
    <t>AUG 2022</t>
  </si>
  <si>
    <t>SEP 2022</t>
  </si>
  <si>
    <t>TOTAL Monitorizari APR2022   =</t>
  </si>
  <si>
    <t>din care 561,80 mii lei pt MONITORIZARI DEC2021+IAN2022+FEB2022+MAR2022</t>
  </si>
  <si>
    <t>Medie realizari 16 luni (pt cei ce au realizat ctr)</t>
  </si>
  <si>
    <t>REG dupa APR2022</t>
  </si>
  <si>
    <t>MAI reg dupa APR</t>
  </si>
  <si>
    <t>% pt REG=</t>
  </si>
  <si>
    <t>TOTAL suplim Monitorizari/ dec2021=82,73 mii lei</t>
  </si>
  <si>
    <t>MAI realizat</t>
  </si>
  <si>
    <t>Suma nerealizata MAI2022(cu - in SIUI)</t>
  </si>
  <si>
    <t>TOTAL Monitorizari MAI2022   =</t>
  </si>
  <si>
    <t>Suma pt AA  de REG din IUNIE</t>
  </si>
  <si>
    <t>IUN realizat</t>
  </si>
  <si>
    <t>Suma nerealizata IUN2022(cu - in SIUI)</t>
  </si>
  <si>
    <t>UKR =</t>
  </si>
  <si>
    <t>TOTAL Monitorizari IUNIE2022   =</t>
  </si>
  <si>
    <t>IUL realizat</t>
  </si>
  <si>
    <t>Suma nerealizata IUL2022(cu - in SIUI)</t>
  </si>
  <si>
    <t>TOTAL Monitorizari IULIE2022   =</t>
  </si>
  <si>
    <t>TRIM II 2022 realizat</t>
  </si>
  <si>
    <t xml:space="preserve">TRIM II 2022 realizat </t>
  </si>
  <si>
    <t>Suma nerealizata IUL2022 (cu - in SIUI)</t>
  </si>
  <si>
    <t>AUG realizat</t>
  </si>
  <si>
    <t>Suma nerealizata AUG2022(cu - in SIUI)</t>
  </si>
  <si>
    <t>Total Monitoriz. AUG2022 =</t>
  </si>
  <si>
    <t>Suplim rectif Bugetara</t>
  </si>
  <si>
    <t>Rectif. Bugetara</t>
  </si>
  <si>
    <t>Suplim</t>
  </si>
  <si>
    <t>Oct. suplimentat</t>
  </si>
  <si>
    <t>Nov. suplimentat</t>
  </si>
  <si>
    <t>AN2022 suplim. Si contractat cu Monitorizari</t>
  </si>
  <si>
    <t xml:space="preserve">VENETIA MEDICAL </t>
  </si>
  <si>
    <r>
      <t xml:space="preserve">MEDIMA HEALTH SA </t>
    </r>
    <r>
      <rPr>
        <b/>
        <i/>
        <sz val="8"/>
        <rFont val="TimesRomanR"/>
        <family val="0"/>
      </rPr>
      <t>(in ctr din oct2022 !)</t>
    </r>
  </si>
  <si>
    <r>
      <t xml:space="preserve">CENTRUL MEDICAL MATEUS </t>
    </r>
    <r>
      <rPr>
        <b/>
        <i/>
        <sz val="8"/>
        <rFont val="TimesRomanR"/>
        <family val="0"/>
      </rPr>
      <t>(din oct2022)</t>
    </r>
  </si>
  <si>
    <t>SEP realizat</t>
  </si>
  <si>
    <t>Suma nerealizata SEP2022(cu - in SIUI)</t>
  </si>
  <si>
    <t>Total Monitoriz. SEP2022 =</t>
  </si>
  <si>
    <t>TRIM III 2022 realizat</t>
  </si>
  <si>
    <t>Laborator =</t>
  </si>
  <si>
    <t>ECONOMII:</t>
  </si>
  <si>
    <t>Radiologie =</t>
  </si>
  <si>
    <t>Reg pt OCT.</t>
  </si>
  <si>
    <t>Economii =</t>
  </si>
  <si>
    <t xml:space="preserve">% pt REG = </t>
  </si>
  <si>
    <t>Medie realizari 9 luni luni (pt cei ce au realizat ctr)</t>
  </si>
  <si>
    <t>Oct dupa reg.</t>
  </si>
  <si>
    <t>OCT realizat</t>
  </si>
  <si>
    <t>Suma nerealizata OCT2022(cu - in SIUI)</t>
  </si>
  <si>
    <t>Total Monitoriz. OCT2022 =</t>
  </si>
  <si>
    <t>Medie realizari 10 luni luni (pt cei ce au realizat ctr)</t>
  </si>
  <si>
    <t>Reg pt NOV.</t>
  </si>
  <si>
    <t>NOV dupa reg. oct.</t>
  </si>
  <si>
    <t>Suplim in NOV2022</t>
  </si>
  <si>
    <t>pt NOV2022</t>
  </si>
  <si>
    <t>pt DEC2022</t>
  </si>
  <si>
    <t>NOV suplim2</t>
  </si>
  <si>
    <t>DEC suplim2</t>
  </si>
  <si>
    <t>Dec. suplim. 1</t>
  </si>
  <si>
    <t>NOV realizat</t>
  </si>
  <si>
    <t xml:space="preserve">CA / AN 2022  = </t>
  </si>
  <si>
    <t>prin FB cu nr. P9143/24.11.2022</t>
  </si>
  <si>
    <t>s-a acordat CA suplimentar in suma de</t>
  </si>
  <si>
    <t>Total Monitoriz. NOV2022 =</t>
  </si>
  <si>
    <t>Suma in plus / nerealizata NOV2022 , din care Monitorizari:</t>
  </si>
  <si>
    <t>Monitoriz. NOV2022</t>
  </si>
  <si>
    <t>8.640,91 mii lei</t>
  </si>
  <si>
    <t xml:space="preserve">Disponibil pt realizari in DEC2022 = </t>
  </si>
  <si>
    <t>DEC realizat</t>
  </si>
  <si>
    <t>Suma in plus / nerealizata DEC2022 , din care Monitorizari:</t>
  </si>
  <si>
    <t>Monitoriz. DEC2022</t>
  </si>
  <si>
    <t>Rez din NOV=</t>
  </si>
  <si>
    <t>TRIM IV 2022 final</t>
  </si>
  <si>
    <t xml:space="preserve">AN 2022 REALIZAT     </t>
  </si>
  <si>
    <t>Total Monitoriz. DEC2022 =</t>
  </si>
  <si>
    <t>prin FB cu nr. P9832/20.12.2022</t>
  </si>
  <si>
    <t>Neconsumat din CA / 2022 =</t>
  </si>
  <si>
    <t>REALIZAT cu monitorizari din dec2021 =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</si>
</sst>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"/>
    <numFmt numFmtId="167" formatCode="#,##0.000"/>
    <numFmt numFmtId="168" formatCode="#,##0.000000"/>
    <numFmt numFmtId="169" formatCode="#,##0.00000"/>
    <numFmt numFmtId="170" formatCode="#,##0.0000000"/>
    <numFmt numFmtId="171" formatCode="#,##0.00000000"/>
    <numFmt numFmtId="172" formatCode="[$-418]dddd\,\ d\ mmmm\ yyyy"/>
  </numFmts>
  <fonts count="65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b/>
      <sz val="9"/>
      <color indexed="9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sz val="14"/>
      <name val="TimesRomanR"/>
      <family val="0"/>
    </font>
    <font>
      <b/>
      <i/>
      <sz val="8"/>
      <color indexed="9"/>
      <name val="TimesRomanR"/>
      <family val="0"/>
    </font>
    <font>
      <b/>
      <i/>
      <sz val="10"/>
      <color indexed="9"/>
      <name val="TimesRomanR"/>
      <family val="0"/>
    </font>
    <font>
      <b/>
      <sz val="8"/>
      <color indexed="9"/>
      <name val="TimesRomanR"/>
      <family val="0"/>
    </font>
    <font>
      <b/>
      <i/>
      <sz val="12"/>
      <name val="TimesRomanR"/>
      <family val="0"/>
    </font>
    <font>
      <b/>
      <sz val="6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3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8" fillId="32" borderId="13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wrapText="1"/>
    </xf>
    <xf numFmtId="4" fontId="1" fillId="32" borderId="1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32" borderId="14" xfId="0" applyNumberFormat="1" applyFont="1" applyFill="1" applyBorder="1" applyAlignment="1">
      <alignment horizontal="right" wrapText="1"/>
    </xf>
    <xf numFmtId="4" fontId="1" fillId="32" borderId="17" xfId="0" applyNumberFormat="1" applyFont="1" applyFill="1" applyBorder="1" applyAlignment="1">
      <alignment horizontal="right" wrapText="1"/>
    </xf>
    <xf numFmtId="4" fontId="6" fillId="3" borderId="18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5" fillId="3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" fontId="1" fillId="32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32" borderId="2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/>
    </xf>
    <xf numFmtId="4" fontId="6" fillId="32" borderId="2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33" borderId="24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32" borderId="18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wrapText="1"/>
    </xf>
    <xf numFmtId="4" fontId="6" fillId="34" borderId="18" xfId="0" applyNumberFormat="1" applyFont="1" applyFill="1" applyBorder="1" applyAlignment="1">
      <alignment wrapText="1"/>
    </xf>
    <xf numFmtId="4" fontId="6" fillId="34" borderId="19" xfId="0" applyNumberFormat="1" applyFont="1" applyFill="1" applyBorder="1" applyAlignment="1">
      <alignment wrapText="1"/>
    </xf>
    <xf numFmtId="4" fontId="1" fillId="32" borderId="18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wrapText="1"/>
    </xf>
    <xf numFmtId="4" fontId="1" fillId="0" borderId="28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6" fillId="32" borderId="15" xfId="0" applyNumberFormat="1" applyFont="1" applyFill="1" applyBorder="1" applyAlignment="1">
      <alignment wrapText="1"/>
    </xf>
    <xf numFmtId="4" fontId="6" fillId="32" borderId="16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9" fillId="3" borderId="11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left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6" fontId="8" fillId="33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8" fillId="33" borderId="36" xfId="0" applyNumberFormat="1" applyFont="1" applyFill="1" applyBorder="1" applyAlignment="1">
      <alignment horizontal="center" wrapText="1"/>
    </xf>
    <xf numFmtId="168" fontId="8" fillId="33" borderId="11" xfId="0" applyNumberFormat="1" applyFont="1" applyFill="1" applyBorder="1" applyAlignment="1">
      <alignment horizontal="right" wrapText="1"/>
    </xf>
    <xf numFmtId="4" fontId="6" fillId="0" borderId="37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5" fillId="33" borderId="11" xfId="0" applyNumberFormat="1" applyFont="1" applyFill="1" applyBorder="1" applyAlignment="1">
      <alignment horizontal="center" wrapText="1"/>
    </xf>
    <xf numFmtId="4" fontId="6" fillId="3" borderId="38" xfId="0" applyNumberFormat="1" applyFont="1" applyFill="1" applyBorder="1" applyAlignment="1">
      <alignment horizontal="right" wrapText="1"/>
    </xf>
    <xf numFmtId="4" fontId="6" fillId="3" borderId="39" xfId="0" applyNumberFormat="1" applyFont="1" applyFill="1" applyBorder="1" applyAlignment="1">
      <alignment horizontal="right" wrapText="1"/>
    </xf>
    <xf numFmtId="4" fontId="6" fillId="3" borderId="40" xfId="0" applyNumberFormat="1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4" fontId="6" fillId="33" borderId="2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0" fontId="6" fillId="36" borderId="41" xfId="0" applyFont="1" applyFill="1" applyBorder="1" applyAlignment="1">
      <alignment horizontal="right"/>
    </xf>
    <xf numFmtId="4" fontId="6" fillId="36" borderId="42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6" fillId="37" borderId="11" xfId="0" applyNumberFormat="1" applyFont="1" applyFill="1" applyBorder="1" applyAlignment="1">
      <alignment horizontal="center" vertical="center" wrapText="1"/>
    </xf>
    <xf numFmtId="4" fontId="6" fillId="37" borderId="43" xfId="0" applyNumberFormat="1" applyFont="1" applyFill="1" applyBorder="1" applyAlignment="1">
      <alignment/>
    </xf>
    <xf numFmtId="4" fontId="1" fillId="36" borderId="44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37" borderId="36" xfId="0" applyNumberFormat="1" applyFont="1" applyFill="1" applyBorder="1" applyAlignment="1">
      <alignment/>
    </xf>
    <xf numFmtId="4" fontId="6" fillId="34" borderId="43" xfId="0" applyNumberFormat="1" applyFont="1" applyFill="1" applyBorder="1" applyAlignment="1">
      <alignment/>
    </xf>
    <xf numFmtId="4" fontId="1" fillId="36" borderId="45" xfId="0" applyNumberFormat="1" applyFont="1" applyFill="1" applyBorder="1" applyAlignment="1">
      <alignment/>
    </xf>
    <xf numFmtId="4" fontId="1" fillId="36" borderId="46" xfId="0" applyNumberFormat="1" applyFont="1" applyFill="1" applyBorder="1" applyAlignment="1">
      <alignment/>
    </xf>
    <xf numFmtId="4" fontId="14" fillId="34" borderId="36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1" fontId="14" fillId="35" borderId="2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6" fillId="35" borderId="43" xfId="0" applyNumberFormat="1" applyFont="1" applyFill="1" applyBorder="1" applyAlignment="1">
      <alignment horizontal="center" vertical="center" wrapText="1"/>
    </xf>
    <xf numFmtId="4" fontId="17" fillId="35" borderId="15" xfId="0" applyNumberFormat="1" applyFont="1" applyFill="1" applyBorder="1" applyAlignment="1">
      <alignment horizontal="right" vertical="center" wrapText="1"/>
    </xf>
    <xf numFmtId="4" fontId="17" fillId="35" borderId="18" xfId="0" applyNumberFormat="1" applyFont="1" applyFill="1" applyBorder="1" applyAlignment="1">
      <alignment horizontal="right" vertical="center" wrapText="1"/>
    </xf>
    <xf numFmtId="4" fontId="17" fillId="35" borderId="17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6" fillId="35" borderId="26" xfId="0" applyNumberFormat="1" applyFont="1" applyFill="1" applyBorder="1" applyAlignment="1">
      <alignment horizontal="center" wrapText="1"/>
    </xf>
    <xf numFmtId="4" fontId="5" fillId="10" borderId="36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19" xfId="0" applyNumberFormat="1" applyFont="1" applyFill="1" applyBorder="1" applyAlignment="1">
      <alignment horizontal="right" wrapText="1"/>
    </xf>
    <xf numFmtId="4" fontId="6" fillId="5" borderId="47" xfId="0" applyNumberFormat="1" applyFont="1" applyFill="1" applyBorder="1" applyAlignment="1">
      <alignment horizontal="right" wrapText="1"/>
    </xf>
    <xf numFmtId="4" fontId="6" fillId="10" borderId="43" xfId="0" applyNumberFormat="1" applyFont="1" applyFill="1" applyBorder="1" applyAlignment="1">
      <alignment/>
    </xf>
    <xf numFmtId="4" fontId="6" fillId="10" borderId="36" xfId="0" applyNumberFormat="1" applyFont="1" applyFill="1" applyBorder="1" applyAlignment="1">
      <alignment/>
    </xf>
    <xf numFmtId="1" fontId="14" fillId="34" borderId="11" xfId="0" applyNumberFormat="1" applyFont="1" applyFill="1" applyBorder="1" applyAlignment="1">
      <alignment horizontal="center" vertical="center" wrapText="1"/>
    </xf>
    <xf numFmtId="4" fontId="14" fillId="34" borderId="47" xfId="0" applyNumberFormat="1" applyFont="1" applyFill="1" applyBorder="1" applyAlignment="1">
      <alignment wrapText="1"/>
    </xf>
    <xf numFmtId="4" fontId="19" fillId="3" borderId="21" xfId="0" applyNumberFormat="1" applyFont="1" applyFill="1" applyBorder="1" applyAlignment="1">
      <alignment horizontal="center" wrapText="1"/>
    </xf>
    <xf numFmtId="0" fontId="14" fillId="34" borderId="35" xfId="0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6" fillId="33" borderId="36" xfId="0" applyNumberFormat="1" applyFont="1" applyFill="1" applyBorder="1" applyAlignment="1">
      <alignment/>
    </xf>
    <xf numFmtId="166" fontId="8" fillId="33" borderId="22" xfId="0" applyNumberFormat="1" applyFont="1" applyFill="1" applyBorder="1" applyAlignment="1">
      <alignment/>
    </xf>
    <xf numFmtId="4" fontId="5" fillId="10" borderId="36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3" fontId="3" fillId="34" borderId="48" xfId="0" applyNumberFormat="1" applyFont="1" applyFill="1" applyBorder="1" applyAlignment="1">
      <alignment horizontal="left"/>
    </xf>
    <xf numFmtId="4" fontId="6" fillId="10" borderId="14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horizontal="right" wrapText="1"/>
    </xf>
    <xf numFmtId="4" fontId="6" fillId="33" borderId="39" xfId="0" applyNumberFormat="1" applyFont="1" applyFill="1" applyBorder="1" applyAlignment="1">
      <alignment horizontal="right" wrapText="1"/>
    </xf>
    <xf numFmtId="4" fontId="6" fillId="10" borderId="36" xfId="0" applyNumberFormat="1" applyFont="1" applyFill="1" applyBorder="1" applyAlignment="1">
      <alignment horizontal="left" wrapText="1"/>
    </xf>
    <xf numFmtId="4" fontId="6" fillId="10" borderId="15" xfId="0" applyNumberFormat="1" applyFont="1" applyFill="1" applyBorder="1" applyAlignment="1">
      <alignment wrapText="1"/>
    </xf>
    <xf numFmtId="3" fontId="6" fillId="34" borderId="4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 horizontal="left" wrapText="1"/>
    </xf>
    <xf numFmtId="4" fontId="6" fillId="34" borderId="49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1" fillId="0" borderId="43" xfId="0" applyNumberFormat="1" applyFont="1" applyFill="1" applyBorder="1" applyAlignment="1">
      <alignment/>
    </xf>
    <xf numFmtId="0" fontId="6" fillId="36" borderId="50" xfId="0" applyFont="1" applyFill="1" applyBorder="1" applyAlignment="1">
      <alignment horizontal="right"/>
    </xf>
    <xf numFmtId="4" fontId="6" fillId="36" borderId="48" xfId="0" applyNumberFormat="1" applyFont="1" applyFill="1" applyBorder="1" applyAlignment="1">
      <alignment/>
    </xf>
    <xf numFmtId="4" fontId="6" fillId="34" borderId="45" xfId="0" applyNumberFormat="1" applyFont="1" applyFill="1" applyBorder="1" applyAlignment="1">
      <alignment/>
    </xf>
    <xf numFmtId="4" fontId="1" fillId="34" borderId="45" xfId="0" applyNumberFormat="1" applyFont="1" applyFill="1" applyBorder="1" applyAlignment="1">
      <alignment/>
    </xf>
    <xf numFmtId="4" fontId="6" fillId="34" borderId="48" xfId="0" applyNumberFormat="1" applyFont="1" applyFill="1" applyBorder="1" applyAlignment="1">
      <alignment/>
    </xf>
    <xf numFmtId="0" fontId="25" fillId="5" borderId="13" xfId="0" applyFont="1" applyFill="1" applyBorder="1" applyAlignment="1">
      <alignment horizontal="right"/>
    </xf>
    <xf numFmtId="4" fontId="6" fillId="32" borderId="17" xfId="0" applyNumberFormat="1" applyFont="1" applyFill="1" applyBorder="1" applyAlignment="1">
      <alignment wrapText="1"/>
    </xf>
    <xf numFmtId="1" fontId="6" fillId="39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wrapText="1"/>
    </xf>
    <xf numFmtId="4" fontId="10" fillId="3" borderId="11" xfId="0" applyNumberFormat="1" applyFont="1" applyFill="1" applyBorder="1" applyAlignment="1">
      <alignment horizontal="center" wrapText="1"/>
    </xf>
    <xf numFmtId="4" fontId="6" fillId="33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right"/>
    </xf>
    <xf numFmtId="4" fontId="3" fillId="36" borderId="51" xfId="0" applyNumberFormat="1" applyFont="1" applyFill="1" applyBorder="1" applyAlignment="1">
      <alignment/>
    </xf>
    <xf numFmtId="4" fontId="6" fillId="5" borderId="36" xfId="0" applyNumberFormat="1" applyFont="1" applyFill="1" applyBorder="1" applyAlignment="1">
      <alignment/>
    </xf>
    <xf numFmtId="4" fontId="18" fillId="10" borderId="36" xfId="0" applyNumberFormat="1" applyFont="1" applyFill="1" applyBorder="1" applyAlignment="1">
      <alignment horizontal="center" wrapText="1"/>
    </xf>
    <xf numFmtId="4" fontId="18" fillId="10" borderId="13" xfId="0" applyNumberFormat="1" applyFont="1" applyFill="1" applyBorder="1" applyAlignment="1">
      <alignment horizontal="right" vertical="center" wrapText="1"/>
    </xf>
    <xf numFmtId="4" fontId="5" fillId="10" borderId="43" xfId="0" applyNumberFormat="1" applyFont="1" applyFill="1" applyBorder="1" applyAlignment="1">
      <alignment/>
    </xf>
    <xf numFmtId="4" fontId="3" fillId="10" borderId="36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 horizontal="right" wrapText="1"/>
    </xf>
    <xf numFmtId="4" fontId="6" fillId="32" borderId="15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/>
    </xf>
    <xf numFmtId="4" fontId="6" fillId="33" borderId="26" xfId="0" applyNumberFormat="1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 wrapText="1"/>
    </xf>
    <xf numFmtId="4" fontId="18" fillId="10" borderId="0" xfId="0" applyNumberFormat="1" applyFont="1" applyFill="1" applyBorder="1" applyAlignment="1">
      <alignment horizontal="left" vertical="center" wrapText="1"/>
    </xf>
    <xf numFmtId="4" fontId="6" fillId="10" borderId="0" xfId="0" applyNumberFormat="1" applyFont="1" applyFill="1" applyBorder="1" applyAlignment="1">
      <alignment horizontal="right" wrapText="1"/>
    </xf>
    <xf numFmtId="4" fontId="6" fillId="5" borderId="29" xfId="0" applyNumberFormat="1" applyFont="1" applyFill="1" applyBorder="1" applyAlignment="1">
      <alignment horizontal="right" wrapText="1"/>
    </xf>
    <xf numFmtId="4" fontId="6" fillId="36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4" fontId="6" fillId="33" borderId="44" xfId="0" applyNumberFormat="1" applyFont="1" applyFill="1" applyBorder="1" applyAlignment="1">
      <alignment horizontal="center"/>
    </xf>
    <xf numFmtId="4" fontId="6" fillId="10" borderId="11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center" wrapText="1"/>
    </xf>
    <xf numFmtId="166" fontId="10" fillId="10" borderId="13" xfId="0" applyNumberFormat="1" applyFont="1" applyFill="1" applyBorder="1" applyAlignment="1">
      <alignment horizontal="center"/>
    </xf>
    <xf numFmtId="166" fontId="10" fillId="10" borderId="43" xfId="0" applyNumberFormat="1" applyFont="1" applyFill="1" applyBorder="1" applyAlignment="1">
      <alignment horizontal="center"/>
    </xf>
    <xf numFmtId="3" fontId="14" fillId="10" borderId="36" xfId="0" applyNumberFormat="1" applyFont="1" applyFill="1" applyBorder="1" applyAlignment="1">
      <alignment horizontal="center"/>
    </xf>
    <xf numFmtId="166" fontId="8" fillId="33" borderId="17" xfId="0" applyNumberFormat="1" applyFont="1" applyFill="1" applyBorder="1" applyAlignment="1">
      <alignment/>
    </xf>
    <xf numFmtId="168" fontId="5" fillId="33" borderId="29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6" fillId="33" borderId="22" xfId="0" applyNumberFormat="1" applyFont="1" applyFill="1" applyBorder="1" applyAlignment="1">
      <alignment/>
    </xf>
    <xf numFmtId="4" fontId="6" fillId="33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wrapText="1"/>
    </xf>
    <xf numFmtId="4" fontId="6" fillId="5" borderId="12" xfId="0" applyNumberFormat="1" applyFont="1" applyFill="1" applyBorder="1" applyAlignment="1">
      <alignment/>
    </xf>
    <xf numFmtId="4" fontId="6" fillId="32" borderId="52" xfId="0" applyNumberFormat="1" applyFont="1" applyFill="1" applyBorder="1" applyAlignment="1">
      <alignment/>
    </xf>
    <xf numFmtId="4" fontId="6" fillId="33" borderId="30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6" fillId="32" borderId="43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5" fillId="10" borderId="11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/>
    </xf>
    <xf numFmtId="168" fontId="8" fillId="33" borderId="36" xfId="0" applyNumberFormat="1" applyFont="1" applyFill="1" applyBorder="1" applyAlignment="1">
      <alignment horizontal="center" wrapText="1"/>
    </xf>
    <xf numFmtId="4" fontId="1" fillId="5" borderId="14" xfId="0" applyNumberFormat="1" applyFont="1" applyFill="1" applyBorder="1" applyAlignment="1">
      <alignment horizontal="right" wrapText="1"/>
    </xf>
    <xf numFmtId="4" fontId="8" fillId="32" borderId="43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/>
    </xf>
    <xf numFmtId="4" fontId="1" fillId="10" borderId="43" xfId="0" applyNumberFormat="1" applyFont="1" applyFill="1" applyBorder="1" applyAlignment="1">
      <alignment/>
    </xf>
    <xf numFmtId="4" fontId="8" fillId="10" borderId="36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4" fontId="14" fillId="0" borderId="47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54" xfId="0" applyNumberFormat="1" applyFont="1" applyFill="1" applyBorder="1" applyAlignment="1">
      <alignment wrapText="1"/>
    </xf>
    <xf numFmtId="4" fontId="6" fillId="0" borderId="55" xfId="0" applyNumberFormat="1" applyFont="1" applyFill="1" applyBorder="1" applyAlignment="1">
      <alignment wrapText="1"/>
    </xf>
    <xf numFmtId="1" fontId="14" fillId="0" borderId="13" xfId="0" applyNumberFormat="1" applyFont="1" applyFill="1" applyBorder="1" applyAlignment="1" quotePrefix="1">
      <alignment horizontal="center" vertical="center" wrapText="1"/>
    </xf>
    <xf numFmtId="4" fontId="6" fillId="3" borderId="28" xfId="0" applyNumberFormat="1" applyFont="1" applyFill="1" applyBorder="1" applyAlignment="1">
      <alignment horizontal="right" wrapText="1"/>
    </xf>
    <xf numFmtId="4" fontId="6" fillId="3" borderId="27" xfId="0" applyNumberFormat="1" applyFont="1" applyFill="1" applyBorder="1" applyAlignment="1">
      <alignment horizontal="right" wrapText="1"/>
    </xf>
    <xf numFmtId="1" fontId="14" fillId="0" borderId="43" xfId="0" applyNumberFormat="1" applyFont="1" applyFill="1" applyBorder="1" applyAlignment="1" quotePrefix="1">
      <alignment horizontal="center" vertical="center" wrapText="1"/>
    </xf>
    <xf numFmtId="4" fontId="6" fillId="0" borderId="19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center" wrapText="1"/>
    </xf>
    <xf numFmtId="4" fontId="10" fillId="33" borderId="0" xfId="0" applyNumberFormat="1" applyFont="1" applyFill="1" applyBorder="1" applyAlignment="1">
      <alignment horizontal="center" wrapText="1"/>
    </xf>
    <xf numFmtId="4" fontId="6" fillId="10" borderId="0" xfId="0" applyNumberFormat="1" applyFont="1" applyFill="1" applyBorder="1" applyAlignment="1">
      <alignment horizontal="center" wrapText="1"/>
    </xf>
    <xf numFmtId="4" fontId="14" fillId="5" borderId="47" xfId="0" applyNumberFormat="1" applyFont="1" applyFill="1" applyBorder="1" applyAlignment="1">
      <alignment wrapText="1"/>
    </xf>
    <xf numFmtId="4" fontId="14" fillId="32" borderId="47" xfId="0" applyNumberFormat="1" applyFont="1" applyFill="1" applyBorder="1" applyAlignment="1">
      <alignment wrapText="1"/>
    </xf>
    <xf numFmtId="4" fontId="29" fillId="5" borderId="11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wrapText="1"/>
    </xf>
    <xf numFmtId="4" fontId="6" fillId="32" borderId="19" xfId="0" applyNumberFormat="1" applyFont="1" applyFill="1" applyBorder="1" applyAlignment="1">
      <alignment wrapText="1"/>
    </xf>
    <xf numFmtId="4" fontId="6" fillId="32" borderId="18" xfId="0" applyNumberFormat="1" applyFont="1" applyFill="1" applyBorder="1" applyAlignment="1">
      <alignment wrapText="1"/>
    </xf>
    <xf numFmtId="4" fontId="6" fillId="32" borderId="56" xfId="0" applyNumberFormat="1" applyFont="1" applyFill="1" applyBorder="1" applyAlignment="1">
      <alignment wrapText="1"/>
    </xf>
    <xf numFmtId="4" fontId="18" fillId="0" borderId="43" xfId="0" applyNumberFormat="1" applyFont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wrapText="1"/>
    </xf>
    <xf numFmtId="4" fontId="6" fillId="5" borderId="18" xfId="0" applyNumberFormat="1" applyFont="1" applyFill="1" applyBorder="1" applyAlignment="1">
      <alignment wrapText="1"/>
    </xf>
    <xf numFmtId="4" fontId="6" fillId="5" borderId="20" xfId="0" applyNumberFormat="1" applyFont="1" applyFill="1" applyBorder="1" applyAlignment="1">
      <alignment wrapText="1"/>
    </xf>
    <xf numFmtId="4" fontId="6" fillId="5" borderId="47" xfId="0" applyNumberFormat="1" applyFont="1" applyFill="1" applyBorder="1" applyAlignment="1">
      <alignment wrapText="1"/>
    </xf>
    <xf numFmtId="4" fontId="1" fillId="0" borderId="47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center" wrapText="1"/>
    </xf>
    <xf numFmtId="4" fontId="8" fillId="3" borderId="15" xfId="0" applyNumberFormat="1" applyFont="1" applyFill="1" applyBorder="1" applyAlignment="1">
      <alignment horizontal="right" wrapText="1"/>
    </xf>
    <xf numFmtId="4" fontId="8" fillId="3" borderId="38" xfId="0" applyNumberFormat="1" applyFont="1" applyFill="1" applyBorder="1" applyAlignment="1">
      <alignment horizontal="right" wrapText="1"/>
    </xf>
    <xf numFmtId="4" fontId="8" fillId="3" borderId="39" xfId="0" applyNumberFormat="1" applyFont="1" applyFill="1" applyBorder="1" applyAlignment="1">
      <alignment horizontal="right" wrapText="1"/>
    </xf>
    <xf numFmtId="4" fontId="6" fillId="32" borderId="11" xfId="0" applyNumberFormat="1" applyFont="1" applyFill="1" applyBorder="1" applyAlignment="1">
      <alignment/>
    </xf>
    <xf numFmtId="4" fontId="6" fillId="10" borderId="36" xfId="0" applyNumberFormat="1" applyFont="1" applyFill="1" applyBorder="1" applyAlignment="1">
      <alignment horizontal="center" wrapText="1"/>
    </xf>
    <xf numFmtId="4" fontId="6" fillId="10" borderId="55" xfId="0" applyNumberFormat="1" applyFont="1" applyFill="1" applyBorder="1" applyAlignment="1">
      <alignment wrapText="1"/>
    </xf>
    <xf numFmtId="4" fontId="14" fillId="33" borderId="36" xfId="0" applyNumberFormat="1" applyFont="1" applyFill="1" applyBorder="1" applyAlignment="1">
      <alignment wrapText="1"/>
    </xf>
    <xf numFmtId="4" fontId="6" fillId="10" borderId="47" xfId="0" applyNumberFormat="1" applyFont="1" applyFill="1" applyBorder="1" applyAlignment="1">
      <alignment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quotePrefix="1">
      <alignment horizontal="center" vertical="center" wrapText="1"/>
    </xf>
    <xf numFmtId="4" fontId="6" fillId="34" borderId="47" xfId="0" applyNumberFormat="1" applyFont="1" applyFill="1" applyBorder="1" applyAlignment="1">
      <alignment wrapText="1"/>
    </xf>
    <xf numFmtId="4" fontId="6" fillId="39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54" xfId="0" applyNumberFormat="1" applyFont="1" applyFill="1" applyBorder="1" applyAlignment="1">
      <alignment wrapText="1"/>
    </xf>
    <xf numFmtId="4" fontId="1" fillId="0" borderId="55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4" fontId="1" fillId="0" borderId="56" xfId="0" applyNumberFormat="1" applyFont="1" applyFill="1" applyBorder="1" applyAlignment="1">
      <alignment wrapText="1"/>
    </xf>
    <xf numFmtId="4" fontId="8" fillId="3" borderId="19" xfId="0" applyNumberFormat="1" applyFont="1" applyFill="1" applyBorder="1" applyAlignment="1">
      <alignment horizontal="right" wrapText="1"/>
    </xf>
    <xf numFmtId="4" fontId="8" fillId="3" borderId="20" xfId="0" applyNumberFormat="1" applyFont="1" applyFill="1" applyBorder="1" applyAlignment="1">
      <alignment horizontal="right" wrapText="1"/>
    </xf>
    <xf numFmtId="4" fontId="8" fillId="3" borderId="18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wrapText="1"/>
    </xf>
    <xf numFmtId="168" fontId="6" fillId="33" borderId="36" xfId="0" applyNumberFormat="1" applyFont="1" applyFill="1" applyBorder="1" applyAlignment="1">
      <alignment horizontal="center" wrapText="1"/>
    </xf>
    <xf numFmtId="4" fontId="14" fillId="33" borderId="11" xfId="0" applyNumberFormat="1" applyFont="1" applyFill="1" applyBorder="1" applyAlignment="1">
      <alignment horizont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4" fontId="1" fillId="4" borderId="47" xfId="0" applyNumberFormat="1" applyFont="1" applyFill="1" applyBorder="1" applyAlignment="1">
      <alignment wrapText="1"/>
    </xf>
    <xf numFmtId="4" fontId="6" fillId="4" borderId="11" xfId="0" applyNumberFormat="1" applyFont="1" applyFill="1" applyBorder="1" applyAlignment="1">
      <alignment/>
    </xf>
    <xf numFmtId="4" fontId="6" fillId="0" borderId="57" xfId="0" applyNumberFormat="1" applyFont="1" applyFill="1" applyBorder="1" applyAlignment="1">
      <alignment wrapText="1"/>
    </xf>
    <xf numFmtId="4" fontId="8" fillId="3" borderId="55" xfId="0" applyNumberFormat="1" applyFont="1" applyFill="1" applyBorder="1" applyAlignment="1">
      <alignment horizontal="right" wrapText="1"/>
    </xf>
    <xf numFmtId="4" fontId="8" fillId="3" borderId="54" xfId="0" applyNumberFormat="1" applyFont="1" applyFill="1" applyBorder="1" applyAlignment="1">
      <alignment horizontal="right" wrapText="1"/>
    </xf>
    <xf numFmtId="4" fontId="8" fillId="3" borderId="49" xfId="0" applyNumberFormat="1" applyFont="1" applyFill="1" applyBorder="1" applyAlignment="1">
      <alignment horizontal="right" wrapText="1"/>
    </xf>
    <xf numFmtId="1" fontId="6" fillId="4" borderId="11" xfId="0" applyNumberFormat="1" applyFont="1" applyFill="1" applyBorder="1" applyAlignment="1">
      <alignment horizontal="center" vertical="center" wrapText="1"/>
    </xf>
    <xf numFmtId="168" fontId="6" fillId="33" borderId="36" xfId="0" applyNumberFormat="1" applyFont="1" applyFill="1" applyBorder="1" applyAlignment="1">
      <alignment/>
    </xf>
    <xf numFmtId="4" fontId="14" fillId="33" borderId="39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center" wrapText="1"/>
    </xf>
    <xf numFmtId="4" fontId="1" fillId="32" borderId="47" xfId="0" applyNumberFormat="1" applyFont="1" applyFill="1" applyBorder="1" applyAlignment="1">
      <alignment wrapText="1"/>
    </xf>
    <xf numFmtId="4" fontId="1" fillId="4" borderId="38" xfId="0" applyNumberFormat="1" applyFont="1" applyFill="1" applyBorder="1" applyAlignment="1">
      <alignment wrapText="1"/>
    </xf>
    <xf numFmtId="4" fontId="1" fillId="4" borderId="15" xfId="0" applyNumberFormat="1" applyFont="1" applyFill="1" applyBorder="1" applyAlignment="1">
      <alignment wrapText="1"/>
    </xf>
    <xf numFmtId="4" fontId="6" fillId="4" borderId="15" xfId="0" applyNumberFormat="1" applyFont="1" applyFill="1" applyBorder="1" applyAlignment="1">
      <alignment wrapText="1"/>
    </xf>
    <xf numFmtId="4" fontId="1" fillId="0" borderId="58" xfId="0" applyNumberFormat="1" applyFont="1" applyFill="1" applyBorder="1" applyAlignment="1">
      <alignment wrapText="1"/>
    </xf>
    <xf numFmtId="4" fontId="1" fillId="32" borderId="58" xfId="0" applyNumberFormat="1" applyFont="1" applyFill="1" applyBorder="1" applyAlignment="1">
      <alignment wrapText="1"/>
    </xf>
    <xf numFmtId="4" fontId="6" fillId="32" borderId="58" xfId="0" applyNumberFormat="1" applyFont="1" applyFill="1" applyBorder="1" applyAlignment="1">
      <alignment wrapText="1"/>
    </xf>
    <xf numFmtId="4" fontId="1" fillId="32" borderId="59" xfId="0" applyNumberFormat="1" applyFont="1" applyFill="1" applyBorder="1" applyAlignment="1">
      <alignment wrapText="1"/>
    </xf>
    <xf numFmtId="4" fontId="1" fillId="0" borderId="59" xfId="0" applyNumberFormat="1" applyFont="1" applyFill="1" applyBorder="1" applyAlignment="1">
      <alignment wrapText="1"/>
    </xf>
    <xf numFmtId="4" fontId="6" fillId="10" borderId="58" xfId="0" applyNumberFormat="1" applyFont="1" applyFill="1" applyBorder="1" applyAlignment="1">
      <alignment wrapText="1"/>
    </xf>
    <xf numFmtId="4" fontId="6" fillId="10" borderId="11" xfId="0" applyNumberFormat="1" applyFont="1" applyFill="1" applyBorder="1" applyAlignment="1">
      <alignment horizontal="left" wrapText="1"/>
    </xf>
    <xf numFmtId="4" fontId="18" fillId="10" borderId="11" xfId="0" applyNumberFormat="1" applyFont="1" applyFill="1" applyBorder="1" applyAlignment="1">
      <alignment horizontal="center" wrapText="1"/>
    </xf>
    <xf numFmtId="4" fontId="6" fillId="10" borderId="36" xfId="0" applyNumberFormat="1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8" fillId="3" borderId="11" xfId="0" applyNumberFormat="1" applyFont="1" applyFill="1" applyBorder="1" applyAlignment="1">
      <alignment horizontal="right" wrapText="1"/>
    </xf>
    <xf numFmtId="4" fontId="1" fillId="32" borderId="19" xfId="0" applyNumberFormat="1" applyFont="1" applyFill="1" applyBorder="1" applyAlignment="1">
      <alignment wrapText="1"/>
    </xf>
    <xf numFmtId="4" fontId="18" fillId="0" borderId="36" xfId="0" applyNumberFormat="1" applyFont="1" applyBorder="1" applyAlignment="1">
      <alignment horizontal="center" vertical="center" wrapText="1"/>
    </xf>
    <xf numFmtId="4" fontId="8" fillId="32" borderId="21" xfId="0" applyNumberFormat="1" applyFont="1" applyFill="1" applyBorder="1" applyAlignment="1">
      <alignment horizontal="center" vertical="center" wrapText="1"/>
    </xf>
    <xf numFmtId="4" fontId="6" fillId="40" borderId="55" xfId="0" applyNumberFormat="1" applyFont="1" applyFill="1" applyBorder="1" applyAlignment="1">
      <alignment wrapText="1"/>
    </xf>
    <xf numFmtId="4" fontId="8" fillId="33" borderId="49" xfId="0" applyNumberFormat="1" applyFont="1" applyFill="1" applyBorder="1" applyAlignment="1">
      <alignment horizontal="right" wrapText="1"/>
    </xf>
    <xf numFmtId="0" fontId="3" fillId="40" borderId="13" xfId="0" applyFont="1" applyFill="1" applyBorder="1" applyAlignment="1">
      <alignment horizontal="right"/>
    </xf>
    <xf numFmtId="4" fontId="3" fillId="40" borderId="36" xfId="0" applyNumberFormat="1" applyFont="1" applyFill="1" applyBorder="1" applyAlignment="1">
      <alignment horizontal="left"/>
    </xf>
    <xf numFmtId="4" fontId="6" fillId="39" borderId="19" xfId="0" applyNumberFormat="1" applyFont="1" applyFill="1" applyBorder="1" applyAlignment="1">
      <alignment wrapText="1"/>
    </xf>
    <xf numFmtId="4" fontId="6" fillId="39" borderId="18" xfId="0" applyNumberFormat="1" applyFont="1" applyFill="1" applyBorder="1" applyAlignment="1">
      <alignment wrapText="1"/>
    </xf>
    <xf numFmtId="4" fontId="1" fillId="32" borderId="56" xfId="0" applyNumberFormat="1" applyFont="1" applyFill="1" applyBorder="1" applyAlignment="1">
      <alignment wrapText="1"/>
    </xf>
    <xf numFmtId="4" fontId="6" fillId="10" borderId="18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horizontal="right" wrapText="1"/>
    </xf>
    <xf numFmtId="4" fontId="10" fillId="3" borderId="13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wrapText="1"/>
    </xf>
    <xf numFmtId="4" fontId="1" fillId="0" borderId="32" xfId="0" applyNumberFormat="1" applyFont="1" applyFill="1" applyBorder="1" applyAlignment="1">
      <alignment wrapText="1"/>
    </xf>
    <xf numFmtId="4" fontId="1" fillId="32" borderId="54" xfId="0" applyNumberFormat="1" applyFont="1" applyFill="1" applyBorder="1" applyAlignment="1">
      <alignment wrapText="1"/>
    </xf>
    <xf numFmtId="4" fontId="1" fillId="32" borderId="55" xfId="0" applyNumberFormat="1" applyFont="1" applyFill="1" applyBorder="1" applyAlignment="1">
      <alignment wrapText="1"/>
    </xf>
    <xf numFmtId="4" fontId="1" fillId="32" borderId="57" xfId="0" applyNumberFormat="1" applyFont="1" applyFill="1" applyBorder="1" applyAlignment="1">
      <alignment wrapText="1"/>
    </xf>
    <xf numFmtId="4" fontId="6" fillId="10" borderId="13" xfId="0" applyNumberFormat="1" applyFont="1" applyFill="1" applyBorder="1" applyAlignment="1">
      <alignment horizontal="left" wrapText="1"/>
    </xf>
    <xf numFmtId="4" fontId="6" fillId="36" borderId="13" xfId="0" applyNumberFormat="1" applyFont="1" applyFill="1" applyBorder="1" applyAlignment="1">
      <alignment/>
    </xf>
    <xf numFmtId="4" fontId="6" fillId="36" borderId="36" xfId="0" applyNumberFormat="1" applyFont="1" applyFill="1" applyBorder="1" applyAlignment="1">
      <alignment/>
    </xf>
    <xf numFmtId="4" fontId="18" fillId="0" borderId="13" xfId="0" applyNumberFormat="1" applyFont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wrapText="1"/>
    </xf>
    <xf numFmtId="4" fontId="8" fillId="33" borderId="39" xfId="0" applyNumberFormat="1" applyFont="1" applyFill="1" applyBorder="1" applyAlignment="1">
      <alignment horizontal="right" wrapText="1"/>
    </xf>
    <xf numFmtId="4" fontId="6" fillId="33" borderId="36" xfId="0" applyNumberFormat="1" applyFont="1" applyFill="1" applyBorder="1" applyAlignment="1">
      <alignment horizontal="left"/>
    </xf>
    <xf numFmtId="1" fontId="5" fillId="41" borderId="11" xfId="0" applyNumberFormat="1" applyFont="1" applyFill="1" applyBorder="1" applyAlignment="1">
      <alignment horizontal="center" vertical="center" wrapText="1"/>
    </xf>
    <xf numFmtId="4" fontId="4" fillId="41" borderId="47" xfId="0" applyNumberFormat="1" applyFont="1" applyFill="1" applyBorder="1" applyAlignment="1">
      <alignment wrapText="1"/>
    </xf>
    <xf numFmtId="1" fontId="6" fillId="36" borderId="11" xfId="0" applyNumberFormat="1" applyFont="1" applyFill="1" applyBorder="1" applyAlignment="1">
      <alignment horizontal="center" vertical="center" wrapText="1"/>
    </xf>
    <xf numFmtId="4" fontId="6" fillId="36" borderId="47" xfId="0" applyNumberFormat="1" applyFont="1" applyFill="1" applyBorder="1" applyAlignment="1">
      <alignment wrapText="1"/>
    </xf>
    <xf numFmtId="4" fontId="6" fillId="41" borderId="11" xfId="0" applyNumberFormat="1" applyFont="1" applyFill="1" applyBorder="1" applyAlignment="1">
      <alignment/>
    </xf>
    <xf numFmtId="4" fontId="6" fillId="36" borderId="11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 wrapText="1"/>
    </xf>
    <xf numFmtId="4" fontId="1" fillId="36" borderId="19" xfId="0" applyNumberFormat="1" applyFont="1" applyFill="1" applyBorder="1" applyAlignment="1">
      <alignment wrapText="1"/>
    </xf>
    <xf numFmtId="4" fontId="1" fillId="36" borderId="18" xfId="0" applyNumberFormat="1" applyFont="1" applyFill="1" applyBorder="1" applyAlignment="1">
      <alignment wrapText="1"/>
    </xf>
    <xf numFmtId="4" fontId="6" fillId="5" borderId="56" xfId="0" applyNumberFormat="1" applyFont="1" applyFill="1" applyBorder="1" applyAlignment="1">
      <alignment wrapText="1"/>
    </xf>
    <xf numFmtId="1" fontId="6" fillId="0" borderId="43" xfId="0" applyNumberFormat="1" applyFont="1" applyFill="1" applyBorder="1" applyAlignment="1" quotePrefix="1">
      <alignment horizontal="center" vertical="center" wrapText="1"/>
    </xf>
    <xf numFmtId="4" fontId="1" fillId="0" borderId="49" xfId="0" applyNumberFormat="1" applyFont="1" applyFill="1" applyBorder="1" applyAlignment="1">
      <alignment wrapText="1"/>
    </xf>
    <xf numFmtId="4" fontId="4" fillId="41" borderId="19" xfId="0" applyNumberFormat="1" applyFont="1" applyFill="1" applyBorder="1" applyAlignment="1">
      <alignment wrapText="1"/>
    </xf>
    <xf numFmtId="4" fontId="4" fillId="41" borderId="18" xfId="0" applyNumberFormat="1" applyFont="1" applyFill="1" applyBorder="1" applyAlignment="1">
      <alignment wrapText="1"/>
    </xf>
    <xf numFmtId="4" fontId="10" fillId="3" borderId="18" xfId="0" applyNumberFormat="1" applyFont="1" applyFill="1" applyBorder="1" applyAlignment="1">
      <alignment horizontal="right" wrapText="1"/>
    </xf>
    <xf numFmtId="4" fontId="4" fillId="41" borderId="56" xfId="0" applyNumberFormat="1" applyFont="1" applyFill="1" applyBorder="1" applyAlignment="1">
      <alignment wrapText="1"/>
    </xf>
    <xf numFmtId="4" fontId="10" fillId="3" borderId="19" xfId="0" applyNumberFormat="1" applyFont="1" applyFill="1" applyBorder="1" applyAlignment="1">
      <alignment horizontal="right" wrapText="1"/>
    </xf>
    <xf numFmtId="4" fontId="10" fillId="3" borderId="20" xfId="0" applyNumberFormat="1" applyFont="1" applyFill="1" applyBorder="1" applyAlignment="1">
      <alignment horizontal="right" wrapText="1"/>
    </xf>
    <xf numFmtId="0" fontId="19" fillId="36" borderId="14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" fontId="6" fillId="36" borderId="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wrapText="1"/>
    </xf>
    <xf numFmtId="4" fontId="18" fillId="0" borderId="48" xfId="0" applyNumberFormat="1" applyFont="1" applyBorder="1" applyAlignment="1">
      <alignment horizontal="center" vertical="center" wrapText="1"/>
    </xf>
    <xf numFmtId="4" fontId="1" fillId="32" borderId="20" xfId="0" applyNumberFormat="1" applyFont="1" applyFill="1" applyBorder="1" applyAlignment="1">
      <alignment wrapText="1"/>
    </xf>
    <xf numFmtId="4" fontId="6" fillId="10" borderId="28" xfId="0" applyNumberFormat="1" applyFont="1" applyFill="1" applyBorder="1" applyAlignment="1">
      <alignment wrapText="1"/>
    </xf>
    <xf numFmtId="4" fontId="6" fillId="10" borderId="60" xfId="0" applyNumberFormat="1" applyFont="1" applyFill="1" applyBorder="1" applyAlignment="1">
      <alignment wrapText="1"/>
    </xf>
    <xf numFmtId="4" fontId="1" fillId="0" borderId="61" xfId="0" applyNumberFormat="1" applyFont="1" applyFill="1" applyBorder="1" applyAlignment="1">
      <alignment wrapText="1"/>
    </xf>
    <xf numFmtId="4" fontId="5" fillId="0" borderId="43" xfId="0" applyNumberFormat="1" applyFont="1" applyFill="1" applyBorder="1" applyAlignment="1">
      <alignment horizontal="center" wrapText="1"/>
    </xf>
    <xf numFmtId="4" fontId="5" fillId="0" borderId="36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left" wrapText="1"/>
    </xf>
    <xf numFmtId="4" fontId="6" fillId="0" borderId="43" xfId="0" applyNumberFormat="1" applyFont="1" applyFill="1" applyBorder="1" applyAlignment="1">
      <alignment horizontal="left" wrapText="1"/>
    </xf>
    <xf numFmtId="4" fontId="6" fillId="0" borderId="36" xfId="0" applyNumberFormat="1" applyFont="1" applyFill="1" applyBorder="1" applyAlignment="1">
      <alignment horizontal="left" wrapText="1"/>
    </xf>
    <xf numFmtId="4" fontId="7" fillId="10" borderId="36" xfId="0" applyNumberFormat="1" applyFont="1" applyFill="1" applyBorder="1" applyAlignment="1">
      <alignment horizontal="center" wrapText="1"/>
    </xf>
    <xf numFmtId="4" fontId="1" fillId="0" borderId="46" xfId="0" applyNumberFormat="1" applyFont="1" applyFill="1" applyBorder="1" applyAlignment="1">
      <alignment/>
    </xf>
    <xf numFmtId="4" fontId="6" fillId="0" borderId="6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1" fontId="30" fillId="0" borderId="13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wrapText="1"/>
    </xf>
    <xf numFmtId="1" fontId="14" fillId="0" borderId="11" xfId="0" applyNumberFormat="1" applyFont="1" applyFill="1" applyBorder="1" applyAlignment="1">
      <alignment horizontal="center" vertical="center" wrapText="1"/>
    </xf>
    <xf numFmtId="4" fontId="6" fillId="0" borderId="56" xfId="0" applyNumberFormat="1" applyFont="1" applyFill="1" applyBorder="1" applyAlignment="1">
      <alignment wrapText="1"/>
    </xf>
    <xf numFmtId="1" fontId="6" fillId="0" borderId="4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/>
    </xf>
    <xf numFmtId="166" fontId="10" fillId="0" borderId="45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4" fontId="10" fillId="3" borderId="15" xfId="0" applyNumberFormat="1" applyFont="1" applyFill="1" applyBorder="1" applyAlignment="1">
      <alignment horizontal="right" wrapText="1"/>
    </xf>
    <xf numFmtId="4" fontId="10" fillId="3" borderId="28" xfId="0" applyNumberFormat="1" applyFont="1" applyFill="1" applyBorder="1" applyAlignment="1">
      <alignment horizontal="right" wrapText="1"/>
    </xf>
    <xf numFmtId="4" fontId="1" fillId="0" borderId="62" xfId="0" applyNumberFormat="1" applyFont="1" applyFill="1" applyBorder="1" applyAlignment="1">
      <alignment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 quotePrefix="1">
      <alignment horizontal="center" vertical="center" wrapText="1"/>
    </xf>
    <xf numFmtId="3" fontId="3" fillId="0" borderId="0" xfId="0" applyNumberFormat="1" applyFont="1" applyFill="1" applyAlignment="1">
      <alignment/>
    </xf>
    <xf numFmtId="3" fontId="10" fillId="3" borderId="15" xfId="0" applyNumberFormat="1" applyFont="1" applyFill="1" applyBorder="1" applyAlignment="1">
      <alignment horizontal="right" wrapText="1"/>
    </xf>
    <xf numFmtId="3" fontId="8" fillId="3" borderId="38" xfId="0" applyNumberFormat="1" applyFont="1" applyFill="1" applyBorder="1" applyAlignment="1">
      <alignment horizontal="right" wrapText="1"/>
    </xf>
    <xf numFmtId="3" fontId="8" fillId="3" borderId="39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8" fillId="32" borderId="30" xfId="0" applyNumberFormat="1" applyFont="1" applyFill="1" applyBorder="1" applyAlignment="1">
      <alignment horizontal="center" vertical="center" wrapText="1"/>
    </xf>
    <xf numFmtId="3" fontId="1" fillId="32" borderId="31" xfId="0" applyNumberFormat="1" applyFont="1" applyFill="1" applyBorder="1" applyAlignment="1">
      <alignment wrapText="1"/>
    </xf>
    <xf numFmtId="3" fontId="1" fillId="32" borderId="32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168" fontId="6" fillId="33" borderId="36" xfId="0" applyNumberFormat="1" applyFont="1" applyFill="1" applyBorder="1" applyAlignment="1">
      <alignment wrapText="1"/>
    </xf>
    <xf numFmtId="1" fontId="14" fillId="5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4" fontId="1" fillId="36" borderId="15" xfId="0" applyNumberFormat="1" applyFont="1" applyFill="1" applyBorder="1" applyAlignment="1">
      <alignment wrapText="1"/>
    </xf>
    <xf numFmtId="168" fontId="6" fillId="0" borderId="36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wrapText="1"/>
    </xf>
    <xf numFmtId="4" fontId="10" fillId="3" borderId="57" xfId="0" applyNumberFormat="1" applyFont="1" applyFill="1" applyBorder="1" applyAlignment="1">
      <alignment horizontal="right" wrapText="1"/>
    </xf>
    <xf numFmtId="1" fontId="14" fillId="5" borderId="21" xfId="0" applyNumberFormat="1" applyFont="1" applyFill="1" applyBorder="1" applyAlignment="1">
      <alignment horizontal="center" vertical="center" wrapText="1"/>
    </xf>
    <xf numFmtId="4" fontId="1" fillId="5" borderId="19" xfId="0" applyNumberFormat="1" applyFont="1" applyFill="1" applyBorder="1" applyAlignment="1">
      <alignment wrapText="1"/>
    </xf>
    <xf numFmtId="4" fontId="1" fillId="5" borderId="18" xfId="0" applyNumberFormat="1" applyFont="1" applyFill="1" applyBorder="1" applyAlignment="1">
      <alignment wrapText="1"/>
    </xf>
    <xf numFmtId="1" fontId="6" fillId="5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right" wrapText="1"/>
    </xf>
    <xf numFmtId="1" fontId="5" fillId="5" borderId="52" xfId="0" applyNumberFormat="1" applyFont="1" applyFill="1" applyBorder="1" applyAlignment="1">
      <alignment horizontal="center" vertical="center" wrapText="1"/>
    </xf>
    <xf numFmtId="1" fontId="5" fillId="5" borderId="5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wrapText="1"/>
    </xf>
    <xf numFmtId="4" fontId="1" fillId="0" borderId="63" xfId="0" applyNumberFormat="1" applyFont="1" applyFill="1" applyBorder="1" applyAlignment="1">
      <alignment wrapText="1"/>
    </xf>
    <xf numFmtId="4" fontId="1" fillId="0" borderId="64" xfId="0" applyNumberFormat="1" applyFont="1" applyFill="1" applyBorder="1" applyAlignment="1">
      <alignment wrapText="1"/>
    </xf>
    <xf numFmtId="1" fontId="6" fillId="5" borderId="19" xfId="0" applyNumberFormat="1" applyFont="1" applyFill="1" applyBorder="1" applyAlignment="1">
      <alignment horizontal="center" vertical="center" wrapText="1"/>
    </xf>
    <xf numFmtId="1" fontId="5" fillId="5" borderId="25" xfId="0" applyNumberFormat="1" applyFont="1" applyFill="1" applyBorder="1" applyAlignment="1">
      <alignment horizontal="center" vertical="center" wrapText="1"/>
    </xf>
    <xf numFmtId="1" fontId="5" fillId="5" borderId="51" xfId="0" applyNumberFormat="1" applyFont="1" applyFill="1" applyBorder="1" applyAlignment="1">
      <alignment horizontal="center" vertical="center" wrapText="1"/>
    </xf>
    <xf numFmtId="4" fontId="10" fillId="3" borderId="39" xfId="0" applyNumberFormat="1" applyFont="1" applyFill="1" applyBorder="1" applyAlignment="1">
      <alignment horizontal="right" wrapText="1"/>
    </xf>
    <xf numFmtId="1" fontId="5" fillId="36" borderId="43" xfId="0" applyNumberFormat="1" applyFont="1" applyFill="1" applyBorder="1" applyAlignment="1">
      <alignment horizontal="center" vertical="center" wrapText="1"/>
    </xf>
    <xf numFmtId="4" fontId="5" fillId="36" borderId="47" xfId="0" applyNumberFormat="1" applyFont="1" applyFill="1" applyBorder="1" applyAlignment="1">
      <alignment wrapText="1"/>
    </xf>
    <xf numFmtId="4" fontId="5" fillId="36" borderId="11" xfId="0" applyNumberFormat="1" applyFont="1" applyFill="1" applyBorder="1" applyAlignment="1">
      <alignment/>
    </xf>
    <xf numFmtId="1" fontId="5" fillId="36" borderId="27" xfId="0" applyNumberFormat="1" applyFont="1" applyFill="1" applyBorder="1" applyAlignment="1">
      <alignment horizontal="center" vertical="center" wrapText="1"/>
    </xf>
    <xf numFmtId="4" fontId="4" fillId="36" borderId="28" xfId="0" applyNumberFormat="1" applyFont="1" applyFill="1" applyBorder="1" applyAlignment="1">
      <alignment wrapText="1"/>
    </xf>
    <xf numFmtId="4" fontId="4" fillId="36" borderId="38" xfId="0" applyNumberFormat="1" applyFont="1" applyFill="1" applyBorder="1" applyAlignment="1">
      <alignment wrapText="1"/>
    </xf>
    <xf numFmtId="4" fontId="4" fillId="36" borderId="15" xfId="0" applyNumberFormat="1" applyFont="1" applyFill="1" applyBorder="1" applyAlignment="1">
      <alignment wrapText="1"/>
    </xf>
    <xf numFmtId="4" fontId="1" fillId="36" borderId="28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0" fontId="5" fillId="0" borderId="35" xfId="0" applyFont="1" applyBorder="1" applyAlignment="1">
      <alignment/>
    </xf>
    <xf numFmtId="4" fontId="6" fillId="0" borderId="48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6" fillId="0" borderId="44" xfId="0" applyNumberFormat="1" applyFont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14" fillId="39" borderId="14" xfId="0" applyNumberFormat="1" applyFont="1" applyFill="1" applyBorder="1" applyAlignment="1">
      <alignment wrapText="1"/>
    </xf>
    <xf numFmtId="4" fontId="6" fillId="0" borderId="61" xfId="0" applyNumberFormat="1" applyFont="1" applyFill="1" applyBorder="1" applyAlignment="1">
      <alignment wrapText="1"/>
    </xf>
    <xf numFmtId="4" fontId="6" fillId="0" borderId="28" xfId="0" applyNumberFormat="1" applyFont="1" applyFill="1" applyBorder="1" applyAlignment="1">
      <alignment wrapText="1"/>
    </xf>
    <xf numFmtId="4" fontId="10" fillId="3" borderId="36" xfId="0" applyNumberFormat="1" applyFont="1" applyFill="1" applyBorder="1" applyAlignment="1">
      <alignment horizontal="center" wrapText="1"/>
    </xf>
    <xf numFmtId="1" fontId="6" fillId="35" borderId="21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wrapText="1"/>
    </xf>
    <xf numFmtId="4" fontId="4" fillId="0" borderId="4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3" fontId="8" fillId="32" borderId="13" xfId="0" applyNumberFormat="1" applyFont="1" applyFill="1" applyBorder="1" applyAlignment="1">
      <alignment horizontal="center" vertical="center" wrapText="1"/>
    </xf>
    <xf numFmtId="3" fontId="4" fillId="32" borderId="62" xfId="0" applyNumberFormat="1" applyFont="1" applyFill="1" applyBorder="1" applyAlignment="1">
      <alignment wrapText="1"/>
    </xf>
    <xf numFmtId="3" fontId="4" fillId="32" borderId="55" xfId="0" applyNumberFormat="1" applyFont="1" applyFill="1" applyBorder="1" applyAlignment="1">
      <alignment wrapText="1"/>
    </xf>
    <xf numFmtId="3" fontId="10" fillId="3" borderId="20" xfId="0" applyNumberFormat="1" applyFont="1" applyFill="1" applyBorder="1" applyAlignment="1">
      <alignment horizontal="right" wrapText="1"/>
    </xf>
    <xf numFmtId="3" fontId="1" fillId="32" borderId="55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 wrapText="1"/>
    </xf>
    <xf numFmtId="1" fontId="6" fillId="0" borderId="36" xfId="0" applyNumberFormat="1" applyFont="1" applyBorder="1" applyAlignment="1">
      <alignment horizontal="center" vertical="center" wrapText="1"/>
    </xf>
    <xf numFmtId="4" fontId="6" fillId="3" borderId="47" xfId="0" applyNumberFormat="1" applyFont="1" applyFill="1" applyBorder="1" applyAlignment="1">
      <alignment horizontal="right" wrapText="1"/>
    </xf>
    <xf numFmtId="4" fontId="6" fillId="34" borderId="38" xfId="0" applyNumberFormat="1" applyFont="1" applyFill="1" applyBorder="1" applyAlignment="1">
      <alignment wrapText="1"/>
    </xf>
    <xf numFmtId="4" fontId="6" fillId="34" borderId="15" xfId="0" applyNumberFormat="1" applyFont="1" applyFill="1" applyBorder="1" applyAlignment="1">
      <alignment wrapText="1"/>
    </xf>
    <xf numFmtId="4" fontId="6" fillId="39" borderId="56" xfId="0" applyNumberFormat="1" applyFont="1" applyFill="1" applyBorder="1" applyAlignment="1">
      <alignment wrapText="1"/>
    </xf>
    <xf numFmtId="4" fontId="5" fillId="36" borderId="61" xfId="0" applyNumberFormat="1" applyFont="1" applyFill="1" applyBorder="1" applyAlignment="1">
      <alignment wrapText="1"/>
    </xf>
    <xf numFmtId="4" fontId="5" fillId="3" borderId="43" xfId="0" applyNumberFormat="1" applyFont="1" applyFill="1" applyBorder="1" applyAlignment="1">
      <alignment horizontal="center" wrapText="1"/>
    </xf>
    <xf numFmtId="4" fontId="5" fillId="3" borderId="48" xfId="0" applyNumberFormat="1" applyFont="1" applyFill="1" applyBorder="1" applyAlignment="1">
      <alignment horizontal="center" wrapText="1"/>
    </xf>
    <xf numFmtId="4" fontId="5" fillId="3" borderId="36" xfId="0" applyNumberFormat="1" applyFont="1" applyFill="1" applyBorder="1" applyAlignment="1">
      <alignment horizontal="center" wrapText="1"/>
    </xf>
    <xf numFmtId="3" fontId="6" fillId="10" borderId="11" xfId="0" applyNumberFormat="1" applyFont="1" applyFill="1" applyBorder="1" applyAlignment="1">
      <alignment horizontal="left" wrapText="1"/>
    </xf>
    <xf numFmtId="3" fontId="1" fillId="0" borderId="38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6" fillId="10" borderId="15" xfId="0" applyNumberFormat="1" applyFont="1" applyFill="1" applyBorder="1" applyAlignment="1">
      <alignment wrapText="1"/>
    </xf>
    <xf numFmtId="4" fontId="8" fillId="10" borderId="39" xfId="0" applyNumberFormat="1" applyFont="1" applyFill="1" applyBorder="1" applyAlignment="1">
      <alignment horizontal="right" wrapText="1"/>
    </xf>
    <xf numFmtId="4" fontId="5" fillId="0" borderId="61" xfId="0" applyNumberFormat="1" applyFont="1" applyFill="1" applyBorder="1" applyAlignment="1">
      <alignment wrapText="1"/>
    </xf>
    <xf numFmtId="4" fontId="18" fillId="0" borderId="36" xfId="0" applyNumberFormat="1" applyFont="1" applyFill="1" applyBorder="1" applyAlignment="1">
      <alignment horizontal="center" wrapText="1"/>
    </xf>
    <xf numFmtId="4" fontId="3" fillId="0" borderId="36" xfId="0" applyNumberFormat="1" applyFont="1" applyFill="1" applyBorder="1" applyAlignment="1">
      <alignment horizontal="left"/>
    </xf>
    <xf numFmtId="4" fontId="5" fillId="33" borderId="61" xfId="0" applyNumberFormat="1" applyFont="1" applyFill="1" applyBorder="1" applyAlignment="1">
      <alignment wrapText="1"/>
    </xf>
    <xf numFmtId="4" fontId="5" fillId="32" borderId="61" xfId="0" applyNumberFormat="1" applyFont="1" applyFill="1" applyBorder="1" applyAlignment="1">
      <alignment wrapText="1"/>
    </xf>
    <xf numFmtId="4" fontId="5" fillId="33" borderId="36" xfId="0" applyNumberFormat="1" applyFont="1" applyFill="1" applyBorder="1" applyAlignment="1">
      <alignment horizontal="center" wrapText="1"/>
    </xf>
    <xf numFmtId="4" fontId="5" fillId="10" borderId="61" xfId="0" applyNumberFormat="1" applyFont="1" applyFill="1" applyBorder="1" applyAlignment="1">
      <alignment wrapText="1"/>
    </xf>
    <xf numFmtId="4" fontId="8" fillId="3" borderId="14" xfId="0" applyNumberFormat="1" applyFont="1" applyFill="1" applyBorder="1" applyAlignment="1">
      <alignment horizontal="right" wrapText="1"/>
    </xf>
    <xf numFmtId="4" fontId="4" fillId="32" borderId="38" xfId="0" applyNumberFormat="1" applyFont="1" applyFill="1" applyBorder="1" applyAlignment="1">
      <alignment wrapText="1"/>
    </xf>
    <xf numFmtId="4" fontId="4" fillId="32" borderId="15" xfId="0" applyNumberFormat="1" applyFont="1" applyFill="1" applyBorder="1" applyAlignment="1">
      <alignment wrapText="1"/>
    </xf>
    <xf numFmtId="4" fontId="1" fillId="32" borderId="16" xfId="0" applyNumberFormat="1" applyFont="1" applyFill="1" applyBorder="1" applyAlignment="1">
      <alignment wrapText="1"/>
    </xf>
    <xf numFmtId="4" fontId="4" fillId="0" borderId="54" xfId="0" applyNumberFormat="1" applyFont="1" applyFill="1" applyBorder="1" applyAlignment="1">
      <alignment wrapText="1"/>
    </xf>
    <xf numFmtId="4" fontId="4" fillId="0" borderId="55" xfId="0" applyNumberFormat="1" applyFont="1" applyFill="1" applyBorder="1" applyAlignment="1">
      <alignment wrapText="1"/>
    </xf>
    <xf numFmtId="4" fontId="10" fillId="3" borderId="55" xfId="0" applyNumberFormat="1" applyFont="1" applyFill="1" applyBorder="1" applyAlignment="1">
      <alignment horizontal="right" wrapText="1"/>
    </xf>
    <xf numFmtId="4" fontId="18" fillId="0" borderId="21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4" fillId="10" borderId="55" xfId="0" applyNumberFormat="1" applyFont="1" applyFill="1" applyBorder="1" applyAlignment="1">
      <alignment wrapText="1"/>
    </xf>
    <xf numFmtId="1" fontId="6" fillId="34" borderId="13" xfId="0" applyNumberFormat="1" applyFont="1" applyFill="1" applyBorder="1" applyAlignment="1">
      <alignment horizontal="center" vertical="center" wrapText="1"/>
    </xf>
    <xf numFmtId="4" fontId="6" fillId="39" borderId="47" xfId="0" applyNumberFormat="1" applyFont="1" applyFill="1" applyBorder="1" applyAlignment="1">
      <alignment wrapText="1"/>
    </xf>
    <xf numFmtId="4" fontId="6" fillId="10" borderId="65" xfId="0" applyNumberFormat="1" applyFont="1" applyFill="1" applyBorder="1" applyAlignment="1">
      <alignment horizontal="center" wrapText="1"/>
    </xf>
    <xf numFmtId="4" fontId="3" fillId="4" borderId="66" xfId="0" applyNumberFormat="1" applyFont="1" applyFill="1" applyBorder="1" applyAlignment="1">
      <alignment horizontal="left"/>
    </xf>
    <xf numFmtId="4" fontId="6" fillId="33" borderId="22" xfId="0" applyNumberFormat="1" applyFont="1" applyFill="1" applyBorder="1" applyAlignment="1">
      <alignment horizontal="center"/>
    </xf>
    <xf numFmtId="4" fontId="6" fillId="33" borderId="46" xfId="0" applyNumberFormat="1" applyFont="1" applyFill="1" applyBorder="1" applyAlignment="1">
      <alignment horizontal="center"/>
    </xf>
    <xf numFmtId="4" fontId="6" fillId="33" borderId="44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66" fontId="10" fillId="0" borderId="4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43" xfId="0" applyNumberFormat="1" applyFont="1" applyFill="1" applyBorder="1" applyAlignment="1">
      <alignment horizontal="center" wrapText="1"/>
    </xf>
    <xf numFmtId="166" fontId="10" fillId="10" borderId="35" xfId="0" applyNumberFormat="1" applyFont="1" applyFill="1" applyBorder="1" applyAlignment="1">
      <alignment horizontal="center"/>
    </xf>
    <xf numFmtId="166" fontId="10" fillId="10" borderId="45" xfId="0" applyNumberFormat="1" applyFont="1" applyFill="1" applyBorder="1" applyAlignment="1">
      <alignment horizontal="center"/>
    </xf>
    <xf numFmtId="4" fontId="6" fillId="10" borderId="13" xfId="0" applyNumberFormat="1" applyFont="1" applyFill="1" applyBorder="1" applyAlignment="1">
      <alignment horizontal="center" wrapText="1"/>
    </xf>
    <xf numFmtId="4" fontId="6" fillId="10" borderId="43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left" wrapText="1"/>
    </xf>
    <xf numFmtId="4" fontId="6" fillId="0" borderId="43" xfId="0" applyNumberFormat="1" applyFont="1" applyBorder="1" applyAlignment="1">
      <alignment horizontal="left" wrapText="1"/>
    </xf>
    <xf numFmtId="166" fontId="10" fillId="10" borderId="13" xfId="0" applyNumberFormat="1" applyFont="1" applyFill="1" applyBorder="1" applyAlignment="1">
      <alignment horizontal="center"/>
    </xf>
    <xf numFmtId="166" fontId="10" fillId="10" borderId="43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center" wrapText="1"/>
    </xf>
    <xf numFmtId="4" fontId="5" fillId="10" borderId="43" xfId="0" applyNumberFormat="1" applyFont="1" applyFill="1" applyBorder="1" applyAlignment="1">
      <alignment horizontal="center" wrapText="1"/>
    </xf>
    <xf numFmtId="4" fontId="29" fillId="0" borderId="13" xfId="0" applyNumberFormat="1" applyFont="1" applyFill="1" applyBorder="1" applyAlignment="1">
      <alignment horizontal="right" wrapText="1"/>
    </xf>
    <xf numFmtId="4" fontId="29" fillId="0" borderId="4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42" borderId="13" xfId="0" applyNumberFormat="1" applyFont="1" applyFill="1" applyBorder="1" applyAlignment="1">
      <alignment/>
    </xf>
    <xf numFmtId="3" fontId="5" fillId="42" borderId="43" xfId="0" applyNumberFormat="1" applyFont="1" applyFill="1" applyBorder="1" applyAlignment="1">
      <alignment/>
    </xf>
    <xf numFmtId="3" fontId="4" fillId="42" borderId="43" xfId="0" applyNumberFormat="1" applyFont="1" applyFill="1" applyBorder="1" applyAlignment="1">
      <alignment/>
    </xf>
    <xf numFmtId="4" fontId="4" fillId="42" borderId="43" xfId="0" applyNumberFormat="1" applyFont="1" applyFill="1" applyBorder="1" applyAlignment="1">
      <alignment/>
    </xf>
    <xf numFmtId="3" fontId="5" fillId="42" borderId="43" xfId="0" applyNumberFormat="1" applyFont="1" applyFill="1" applyBorder="1" applyAlignment="1">
      <alignment horizontal="right"/>
    </xf>
    <xf numFmtId="4" fontId="5" fillId="42" borderId="3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 wrapText="1"/>
    </xf>
    <xf numFmtId="4" fontId="5" fillId="0" borderId="3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0"/>
  <sheetViews>
    <sheetView zoomScalePageLayoutView="0" workbookViewId="0" topLeftCell="A13">
      <pane xSplit="23385" topLeftCell="BU1" activePane="topLeft" state="split"/>
      <selection pane="topLeft" activeCell="AG23" sqref="AG23:BZ26"/>
      <selection pane="topRight" activeCell="BH4" sqref="BH1:BI16384"/>
    </sheetView>
  </sheetViews>
  <sheetFormatPr defaultColWidth="9.00390625" defaultRowHeight="25.5" customHeight="1"/>
  <cols>
    <col min="1" max="1" width="3.875" style="1" customWidth="1"/>
    <col min="2" max="2" width="33.25390625" style="8" bestFit="1" customWidth="1"/>
    <col min="3" max="3" width="10.50390625" style="67" customWidth="1"/>
    <col min="4" max="4" width="8.625" style="2" hidden="1" customWidth="1"/>
    <col min="5" max="5" width="8.75390625" style="26" hidden="1" customWidth="1"/>
    <col min="6" max="6" width="0" style="2" hidden="1" customWidth="1"/>
    <col min="7" max="7" width="8.875" style="2" hidden="1" customWidth="1"/>
    <col min="8" max="8" width="8.625" style="21" hidden="1" customWidth="1"/>
    <col min="9" max="9" width="8.25390625" style="21" hidden="1" customWidth="1"/>
    <col min="10" max="10" width="0" style="67" hidden="1" customWidth="1"/>
    <col min="11" max="11" width="8.875" style="21" hidden="1" customWidth="1"/>
    <col min="12" max="13" width="9.25390625" style="65" hidden="1" customWidth="1"/>
    <col min="14" max="14" width="8.625" style="21" hidden="1" customWidth="1"/>
    <col min="15" max="15" width="8.00390625" style="21" hidden="1" customWidth="1"/>
    <col min="16" max="16" width="8.625" style="21" hidden="1" customWidth="1"/>
    <col min="17" max="17" width="9.50390625" style="65" hidden="1" customWidth="1"/>
    <col min="18" max="18" width="9.125" style="65" hidden="1" customWidth="1"/>
    <col min="19" max="19" width="10.125" style="8" bestFit="1" customWidth="1"/>
    <col min="20" max="25" width="8.625" style="264" hidden="1" customWidth="1"/>
    <col min="26" max="26" width="7.50390625" style="264" hidden="1" customWidth="1"/>
    <col min="27" max="28" width="8.375" style="264" hidden="1" customWidth="1"/>
    <col min="29" max="29" width="8.875" style="264" hidden="1" customWidth="1"/>
    <col min="30" max="30" width="7.50390625" style="264" hidden="1" customWidth="1"/>
    <col min="31" max="31" width="8.375" style="264" hidden="1" customWidth="1"/>
    <col min="32" max="32" width="8.75390625" style="264" hidden="1" customWidth="1"/>
    <col min="33" max="33" width="10.125" style="264" bestFit="1" customWidth="1"/>
    <col min="34" max="34" width="7.75390625" style="264" hidden="1" customWidth="1"/>
    <col min="35" max="36" width="8.875" style="264" hidden="1" customWidth="1"/>
    <col min="37" max="37" width="7.75390625" style="264" hidden="1" customWidth="1"/>
    <col min="38" max="38" width="10.875" style="264" hidden="1" customWidth="1"/>
    <col min="39" max="39" width="8.375" style="264" hidden="1" customWidth="1"/>
    <col min="40" max="42" width="8.75390625" style="264" hidden="1" customWidth="1"/>
    <col min="43" max="43" width="10.125" style="264" bestFit="1" customWidth="1"/>
    <col min="44" max="44" width="7.625" style="264" hidden="1" customWidth="1"/>
    <col min="45" max="45" width="7.125" style="264" hidden="1" customWidth="1"/>
    <col min="46" max="46" width="8.75390625" style="264" hidden="1" customWidth="1"/>
    <col min="47" max="47" width="9.125" style="264" hidden="1" customWidth="1"/>
    <col min="48" max="48" width="7.75390625" style="264" hidden="1" customWidth="1"/>
    <col min="49" max="49" width="9.125" style="264" hidden="1" customWidth="1"/>
    <col min="50" max="50" width="8.125" style="264" hidden="1" customWidth="1"/>
    <col min="51" max="51" width="7.125" style="261" hidden="1" customWidth="1"/>
    <col min="52" max="52" width="8.875" style="264" hidden="1" customWidth="1"/>
    <col min="53" max="54" width="8.125" style="264" hidden="1" customWidth="1"/>
    <col min="55" max="55" width="7.75390625" style="264" hidden="1" customWidth="1"/>
    <col min="56" max="56" width="8.25390625" style="264" hidden="1" customWidth="1"/>
    <col min="57" max="57" width="9.125" style="264" hidden="1" customWidth="1"/>
    <col min="58" max="62" width="8.25390625" style="264" hidden="1" customWidth="1"/>
    <col min="63" max="63" width="7.25390625" style="261" hidden="1" customWidth="1"/>
    <col min="64" max="64" width="9.375" style="264" hidden="1" customWidth="1"/>
    <col min="65" max="65" width="6.875" style="264" hidden="1" customWidth="1"/>
    <col min="66" max="66" width="8.25390625" style="264" hidden="1" customWidth="1"/>
    <col min="67" max="67" width="8.125" style="264" hidden="1" customWidth="1"/>
    <col min="68" max="68" width="8.625" style="261" hidden="1" customWidth="1"/>
    <col min="69" max="72" width="9.375" style="264" hidden="1" customWidth="1"/>
    <col min="73" max="73" width="9.875" style="264" customWidth="1"/>
    <col min="74" max="74" width="11.625" style="26" customWidth="1"/>
    <col min="75" max="75" width="12.50390625" style="2" customWidth="1"/>
    <col min="76" max="76" width="9.25390625" style="1" hidden="1" customWidth="1"/>
    <col min="77" max="77" width="11.25390625" style="1" customWidth="1"/>
    <col min="78" max="16384" width="9.00390625" style="1" customWidth="1"/>
  </cols>
  <sheetData>
    <row r="1" spans="1:75" s="3" customFormat="1" ht="14.25" customHeight="1">
      <c r="A1" s="12" t="s">
        <v>5</v>
      </c>
      <c r="B1" s="12"/>
      <c r="C1" s="66"/>
      <c r="D1" s="13"/>
      <c r="E1" s="25"/>
      <c r="F1" s="13"/>
      <c r="G1" s="13"/>
      <c r="H1" s="20"/>
      <c r="I1" s="20"/>
      <c r="J1" s="66"/>
      <c r="K1" s="20"/>
      <c r="L1" s="71"/>
      <c r="M1" s="71"/>
      <c r="N1" s="20"/>
      <c r="O1" s="20"/>
      <c r="P1" s="20"/>
      <c r="Q1" s="71"/>
      <c r="R1" s="71"/>
      <c r="S1" s="12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426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426"/>
      <c r="BL1" s="263"/>
      <c r="BM1" s="263"/>
      <c r="BN1" s="263"/>
      <c r="BO1" s="263"/>
      <c r="BP1" s="426"/>
      <c r="BQ1" s="263"/>
      <c r="BR1" s="263"/>
      <c r="BS1" s="263"/>
      <c r="BT1" s="263"/>
      <c r="BU1" s="263"/>
      <c r="BV1" s="25"/>
      <c r="BW1" s="13"/>
    </row>
    <row r="2" ht="43.5" customHeight="1">
      <c r="A2" s="8"/>
    </row>
    <row r="3" spans="1:75" s="3" customFormat="1" ht="19.5" customHeight="1" thickBot="1">
      <c r="A3" s="12" t="s">
        <v>52</v>
      </c>
      <c r="B3" s="12"/>
      <c r="C3" s="66"/>
      <c r="D3" s="13"/>
      <c r="E3" s="25"/>
      <c r="F3" s="13"/>
      <c r="G3" s="13"/>
      <c r="H3" s="20"/>
      <c r="I3" s="20"/>
      <c r="J3" s="66"/>
      <c r="K3" s="20"/>
      <c r="L3" s="71"/>
      <c r="M3" s="71"/>
      <c r="N3" s="20"/>
      <c r="O3" s="20"/>
      <c r="P3" s="20"/>
      <c r="Q3" s="71"/>
      <c r="R3" s="71"/>
      <c r="S3" s="12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426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426"/>
      <c r="BL3" s="263"/>
      <c r="BM3" s="263"/>
      <c r="BN3" s="263"/>
      <c r="BO3" s="263"/>
      <c r="BP3" s="426"/>
      <c r="BQ3" s="263"/>
      <c r="BR3" s="263"/>
      <c r="BS3" s="263"/>
      <c r="BT3" s="263"/>
      <c r="BU3" s="263"/>
      <c r="BV3" s="25"/>
      <c r="BW3" s="13"/>
    </row>
    <row r="4" spans="1:76" s="9" customFormat="1" ht="60.75" customHeight="1" thickBot="1">
      <c r="A4" s="15" t="s">
        <v>9</v>
      </c>
      <c r="B4" s="115" t="s">
        <v>0</v>
      </c>
      <c r="C4" s="156" t="s">
        <v>43</v>
      </c>
      <c r="D4" s="18" t="s">
        <v>44</v>
      </c>
      <c r="E4" s="37" t="s">
        <v>17</v>
      </c>
      <c r="F4" s="70" t="s">
        <v>45</v>
      </c>
      <c r="G4" s="122" t="s">
        <v>32</v>
      </c>
      <c r="H4" s="18" t="s">
        <v>46</v>
      </c>
      <c r="I4" s="123" t="s">
        <v>47</v>
      </c>
      <c r="J4" s="125" t="s">
        <v>48</v>
      </c>
      <c r="K4" s="37" t="s">
        <v>18</v>
      </c>
      <c r="L4" s="70" t="s">
        <v>35</v>
      </c>
      <c r="M4" s="122" t="s">
        <v>56</v>
      </c>
      <c r="N4" s="19" t="s">
        <v>63</v>
      </c>
      <c r="O4" s="123" t="s">
        <v>57</v>
      </c>
      <c r="P4" s="125" t="s">
        <v>58</v>
      </c>
      <c r="Q4" s="37" t="s">
        <v>31</v>
      </c>
      <c r="R4" s="70" t="s">
        <v>64</v>
      </c>
      <c r="S4" s="171" t="s">
        <v>81</v>
      </c>
      <c r="T4" s="267" t="s">
        <v>65</v>
      </c>
      <c r="U4" s="297" t="s">
        <v>71</v>
      </c>
      <c r="V4" s="282" t="s">
        <v>72</v>
      </c>
      <c r="W4" s="315" t="s">
        <v>89</v>
      </c>
      <c r="X4" s="123" t="s">
        <v>90</v>
      </c>
      <c r="Y4" s="277" t="s">
        <v>73</v>
      </c>
      <c r="Z4" s="262" t="s">
        <v>82</v>
      </c>
      <c r="AA4" s="326" t="s">
        <v>91</v>
      </c>
      <c r="AB4" s="37" t="s">
        <v>94</v>
      </c>
      <c r="AC4" s="70" t="s">
        <v>95</v>
      </c>
      <c r="AD4" s="270" t="s">
        <v>83</v>
      </c>
      <c r="AE4" s="347" t="s">
        <v>98</v>
      </c>
      <c r="AF4" s="346" t="s">
        <v>99</v>
      </c>
      <c r="AG4" s="171" t="s">
        <v>105</v>
      </c>
      <c r="AH4" s="262" t="s">
        <v>84</v>
      </c>
      <c r="AI4" s="37" t="s">
        <v>102</v>
      </c>
      <c r="AJ4" s="70" t="s">
        <v>107</v>
      </c>
      <c r="AK4" s="262" t="s">
        <v>85</v>
      </c>
      <c r="AL4" s="37" t="s">
        <v>108</v>
      </c>
      <c r="AM4" s="366" t="s">
        <v>109</v>
      </c>
      <c r="AN4" s="262" t="s">
        <v>86</v>
      </c>
      <c r="AO4" s="347" t="s">
        <v>120</v>
      </c>
      <c r="AP4" s="392" t="s">
        <v>121</v>
      </c>
      <c r="AQ4" s="171" t="s">
        <v>123</v>
      </c>
      <c r="AR4" s="408" t="s">
        <v>130</v>
      </c>
      <c r="AS4" s="410" t="s">
        <v>127</v>
      </c>
      <c r="AT4" s="252" t="s">
        <v>112</v>
      </c>
      <c r="AU4" s="380" t="s">
        <v>77</v>
      </c>
      <c r="AV4" s="370" t="s">
        <v>113</v>
      </c>
      <c r="AW4" s="372" t="s">
        <v>114</v>
      </c>
      <c r="AX4" s="424" t="s">
        <v>131</v>
      </c>
      <c r="AY4" s="433" t="s">
        <v>132</v>
      </c>
      <c r="AZ4" s="70" t="s">
        <v>133</v>
      </c>
      <c r="BA4" s="441" t="s">
        <v>135</v>
      </c>
      <c r="BB4" s="446" t="s">
        <v>136</v>
      </c>
      <c r="BC4" s="425" t="s">
        <v>78</v>
      </c>
      <c r="BD4" s="370" t="s">
        <v>113</v>
      </c>
      <c r="BE4" s="424" t="s">
        <v>115</v>
      </c>
      <c r="BF4" s="424" t="s">
        <v>137</v>
      </c>
      <c r="BG4" s="456" t="s">
        <v>138</v>
      </c>
      <c r="BH4" s="457" t="s">
        <v>139</v>
      </c>
      <c r="BI4" s="458" t="s">
        <v>140</v>
      </c>
      <c r="BJ4" s="463" t="s">
        <v>141</v>
      </c>
      <c r="BK4" s="484" t="s">
        <v>144</v>
      </c>
      <c r="BL4" s="70" t="s">
        <v>149</v>
      </c>
      <c r="BM4" s="300" t="s">
        <v>79</v>
      </c>
      <c r="BN4" s="370" t="s">
        <v>113</v>
      </c>
      <c r="BO4" s="123" t="s">
        <v>143</v>
      </c>
      <c r="BP4" s="499" t="s">
        <v>150</v>
      </c>
      <c r="BQ4" s="460" t="s">
        <v>142</v>
      </c>
      <c r="BR4" s="37" t="s">
        <v>153</v>
      </c>
      <c r="BS4" s="518" t="s">
        <v>154</v>
      </c>
      <c r="BT4" s="340" t="s">
        <v>155</v>
      </c>
      <c r="BU4" s="522" t="s">
        <v>157</v>
      </c>
      <c r="BV4" s="202" t="s">
        <v>116</v>
      </c>
      <c r="BW4" s="480" t="s">
        <v>158</v>
      </c>
      <c r="BX4" s="490" t="s">
        <v>97</v>
      </c>
    </row>
    <row r="5" spans="1:76" s="5" customFormat="1" ht="26.25" customHeight="1">
      <c r="A5" s="4">
        <v>1</v>
      </c>
      <c r="B5" s="116" t="s">
        <v>7</v>
      </c>
      <c r="C5" s="135">
        <v>996655</v>
      </c>
      <c r="D5" s="32">
        <v>101336.55</v>
      </c>
      <c r="E5" s="214">
        <v>97211</v>
      </c>
      <c r="F5" s="32">
        <f>D5-E5</f>
        <v>4125.550000000003</v>
      </c>
      <c r="G5" s="32">
        <v>0</v>
      </c>
      <c r="H5" s="32">
        <v>101056.36</v>
      </c>
      <c r="I5" s="32">
        <v>0</v>
      </c>
      <c r="J5" s="167">
        <f>H5+I5</f>
        <v>101056.36</v>
      </c>
      <c r="K5" s="45">
        <v>101046</v>
      </c>
      <c r="L5" s="32">
        <f>J5-K5</f>
        <v>10.360000000000582</v>
      </c>
      <c r="M5" s="32"/>
      <c r="N5" s="32">
        <v>101056.36</v>
      </c>
      <c r="O5" s="32"/>
      <c r="P5" s="250">
        <f>N5+O5</f>
        <v>101056.36</v>
      </c>
      <c r="Q5" s="45">
        <v>101051</v>
      </c>
      <c r="R5" s="32">
        <f>P5-Q5</f>
        <v>5.360000000000582</v>
      </c>
      <c r="S5" s="75">
        <f>E5+K5+Q5</f>
        <v>299308</v>
      </c>
      <c r="T5" s="265">
        <v>102077.13</v>
      </c>
      <c r="U5" s="279">
        <v>90559</v>
      </c>
      <c r="V5" s="265">
        <f>T5-U5</f>
        <v>11518.130000000005</v>
      </c>
      <c r="W5" s="271">
        <v>0</v>
      </c>
      <c r="X5" s="265">
        <v>0</v>
      </c>
      <c r="Y5" s="283">
        <v>613719.81</v>
      </c>
      <c r="Z5" s="304">
        <v>99000</v>
      </c>
      <c r="AA5" s="331">
        <f>X5+Z5</f>
        <v>99000</v>
      </c>
      <c r="AB5" s="337">
        <v>98999</v>
      </c>
      <c r="AC5" s="338">
        <f>AA5-AB5</f>
        <v>1</v>
      </c>
      <c r="AD5" s="305">
        <v>99000</v>
      </c>
      <c r="AE5" s="345">
        <v>98996</v>
      </c>
      <c r="AF5" s="305">
        <f>AD5-AE5</f>
        <v>4</v>
      </c>
      <c r="AG5" s="75">
        <f>U5+AB5+AE5</f>
        <v>288554</v>
      </c>
      <c r="AH5" s="304">
        <v>99000</v>
      </c>
      <c r="AI5" s="345">
        <v>98993</v>
      </c>
      <c r="AJ5" s="304">
        <f>AH5-AI5</f>
        <v>7</v>
      </c>
      <c r="AK5" s="304">
        <v>99000</v>
      </c>
      <c r="AL5" s="360">
        <v>99000</v>
      </c>
      <c r="AM5" s="358">
        <f>AK5-AL5</f>
        <v>0</v>
      </c>
      <c r="AN5" s="391">
        <v>99000</v>
      </c>
      <c r="AO5" s="345">
        <v>98985</v>
      </c>
      <c r="AP5" s="81">
        <f aca="true" t="shared" si="0" ref="AP5:AP11">AN5-AO5</f>
        <v>15</v>
      </c>
      <c r="AQ5" s="75">
        <f aca="true" t="shared" si="1" ref="AQ5:AQ11">AI5+AL5+AO5</f>
        <v>296978</v>
      </c>
      <c r="AR5" s="409"/>
      <c r="AS5" s="271"/>
      <c r="AT5" s="283">
        <v>113580.51</v>
      </c>
      <c r="AU5" s="305">
        <v>99000</v>
      </c>
      <c r="AV5" s="382">
        <v>0</v>
      </c>
      <c r="AW5" s="377">
        <f>AU5+AV5</f>
        <v>99000</v>
      </c>
      <c r="AX5" s="423">
        <f>AS5+AW5-50499</f>
        <v>48501</v>
      </c>
      <c r="AY5" s="434">
        <v>48501</v>
      </c>
      <c r="AZ5" s="23">
        <f aca="true" t="shared" si="2" ref="AZ5:AZ11">AX5-AY5</f>
        <v>0</v>
      </c>
      <c r="BA5" s="391"/>
      <c r="BB5" s="447">
        <v>0</v>
      </c>
      <c r="BC5" s="423">
        <v>19719.81300700002</v>
      </c>
      <c r="BD5" s="382">
        <v>56790</v>
      </c>
      <c r="BE5" s="391">
        <f>BC5+BD5+8289.51</f>
        <v>84799.32300700001</v>
      </c>
      <c r="BF5" s="23">
        <f aca="true" t="shared" si="3" ref="BF5:BF11">BB5+BE5</f>
        <v>84799.32300700001</v>
      </c>
      <c r="BG5" s="224">
        <v>0</v>
      </c>
      <c r="BH5" s="454">
        <v>0</v>
      </c>
      <c r="BI5" s="455">
        <f>BG5-BH5</f>
        <v>0</v>
      </c>
      <c r="BJ5" s="464">
        <f aca="true" t="shared" si="4" ref="BJ5:BJ11">BF5+BH5</f>
        <v>84799.32300700001</v>
      </c>
      <c r="BK5" s="485">
        <v>81021</v>
      </c>
      <c r="BL5" s="482">
        <f aca="true" t="shared" si="5" ref="BL5:BL11">BK5-BJ5</f>
        <v>-3778.3230070000136</v>
      </c>
      <c r="BM5" s="305">
        <v>0</v>
      </c>
      <c r="BN5" s="382">
        <f aca="true" t="shared" si="6" ref="BN5:BN11">AT5-AV5-BD5</f>
        <v>56790.509999999995</v>
      </c>
      <c r="BO5" s="391">
        <f>BM5+BN5+42209.49</f>
        <v>99000</v>
      </c>
      <c r="BP5" s="500"/>
      <c r="BQ5" s="465">
        <f>BI5+BO5-24486</f>
        <v>74514</v>
      </c>
      <c r="BR5" s="512">
        <v>74514</v>
      </c>
      <c r="BS5" s="519">
        <f>BQ5-BR5</f>
        <v>0</v>
      </c>
      <c r="BT5" s="515"/>
      <c r="BU5" s="492">
        <f>AY5+BK5+BR5</f>
        <v>204036</v>
      </c>
      <c r="BV5" s="352">
        <f aca="true" t="shared" si="7" ref="BV5:BV11">S5+AG5+AQ5+BU5</f>
        <v>1088876</v>
      </c>
      <c r="BW5" s="135">
        <f>S5+AG5+AQ5+AY5+BK5+BR5</f>
        <v>1088876</v>
      </c>
      <c r="BX5" s="81"/>
    </row>
    <row r="6" spans="1:76" s="5" customFormat="1" ht="26.25" customHeight="1">
      <c r="A6" s="4">
        <v>2</v>
      </c>
      <c r="B6" s="117" t="s">
        <v>8</v>
      </c>
      <c r="C6" s="136">
        <v>611213</v>
      </c>
      <c r="D6" s="33">
        <v>41654.46</v>
      </c>
      <c r="E6" s="215">
        <v>54334</v>
      </c>
      <c r="F6" s="183">
        <f>D6-E6</f>
        <v>-12679.54</v>
      </c>
      <c r="G6" s="32">
        <f>(C6+E6)/13</f>
        <v>51195.92307692308</v>
      </c>
      <c r="H6" s="33">
        <v>41550.79</v>
      </c>
      <c r="I6" s="32">
        <f>G6*H23/100</f>
        <v>1568.0044555596608</v>
      </c>
      <c r="J6" s="168">
        <f>H6+I6+155.21</f>
        <v>43274.00445555966</v>
      </c>
      <c r="K6" s="45">
        <v>52233</v>
      </c>
      <c r="L6" s="183">
        <f>J6-K6</f>
        <v>-8958.995544440339</v>
      </c>
      <c r="M6" s="227">
        <f>(C6+E6+K6)/14</f>
        <v>51270</v>
      </c>
      <c r="N6" s="33">
        <f>41550.79-155.21</f>
        <v>41395.58</v>
      </c>
      <c r="O6" s="227">
        <f>M6*M23/100</f>
        <v>932.8474925512335</v>
      </c>
      <c r="P6" s="250">
        <f>N6+O6</f>
        <v>42328.427492551236</v>
      </c>
      <c r="Q6" s="45">
        <v>59200</v>
      </c>
      <c r="R6" s="183">
        <f>P6-Q6</f>
        <v>-16871.572507448764</v>
      </c>
      <c r="S6" s="74">
        <f>E6+K6+Q6</f>
        <v>165767</v>
      </c>
      <c r="T6" s="266">
        <v>41970.49</v>
      </c>
      <c r="U6" s="280">
        <v>40160</v>
      </c>
      <c r="V6" s="266">
        <f>T6-U6</f>
        <v>1810.489999999998</v>
      </c>
      <c r="W6" s="224">
        <v>0</v>
      </c>
      <c r="X6" s="266">
        <v>0</v>
      </c>
      <c r="Y6" s="284">
        <v>269643.71</v>
      </c>
      <c r="Z6" s="79">
        <v>40000</v>
      </c>
      <c r="AA6" s="332">
        <f>X6+Z6+9479</f>
        <v>49479</v>
      </c>
      <c r="AB6" s="335">
        <v>55366</v>
      </c>
      <c r="AC6" s="339">
        <f>AA6-AB6</f>
        <v>-5887</v>
      </c>
      <c r="AD6" s="306">
        <f>40000-9479+11250</f>
        <v>41771</v>
      </c>
      <c r="AE6" s="76">
        <v>45419</v>
      </c>
      <c r="AF6" s="294">
        <f>AD6-AE6</f>
        <v>-3648</v>
      </c>
      <c r="AG6" s="74">
        <f>U6+AB6+AE6</f>
        <v>140945</v>
      </c>
      <c r="AH6" s="79">
        <f>40000-11250</f>
        <v>28750</v>
      </c>
      <c r="AI6" s="76">
        <v>32627</v>
      </c>
      <c r="AJ6" s="355">
        <f>AH6-AI6</f>
        <v>-3877</v>
      </c>
      <c r="AK6" s="79">
        <v>40000</v>
      </c>
      <c r="AL6" s="361">
        <v>48015</v>
      </c>
      <c r="AM6" s="367">
        <f>AK6-AL6</f>
        <v>-8015</v>
      </c>
      <c r="AN6" s="24">
        <f>40000+1082</f>
        <v>41082</v>
      </c>
      <c r="AO6" s="76">
        <v>56108</v>
      </c>
      <c r="AP6" s="394">
        <f t="shared" si="0"/>
        <v>-15026</v>
      </c>
      <c r="AQ6" s="74">
        <f t="shared" si="1"/>
        <v>136750</v>
      </c>
      <c r="AR6" s="24">
        <f>(S6+AG6+AQ6)/9</f>
        <v>49273.555555555555</v>
      </c>
      <c r="AS6" s="224">
        <f>AR6*AR25/100</f>
        <v>0</v>
      </c>
      <c r="AT6" s="284">
        <v>51573.62</v>
      </c>
      <c r="AU6" s="306">
        <v>40000</v>
      </c>
      <c r="AV6" s="383">
        <v>11217</v>
      </c>
      <c r="AW6" s="378">
        <f>AU6+AV6-1082</f>
        <v>50135</v>
      </c>
      <c r="AX6" s="306">
        <f>AS6+AW6</f>
        <v>50135</v>
      </c>
      <c r="AY6" s="435">
        <v>51428</v>
      </c>
      <c r="AZ6" s="24">
        <f t="shared" si="2"/>
        <v>-1293</v>
      </c>
      <c r="BA6" s="24"/>
      <c r="BB6" s="448">
        <v>0</v>
      </c>
      <c r="BC6" s="306">
        <v>29643.709310200007</v>
      </c>
      <c r="BD6" s="383">
        <v>20357</v>
      </c>
      <c r="BE6" s="24">
        <f>BC6+BD6</f>
        <v>50000.70931020001</v>
      </c>
      <c r="BF6" s="24">
        <f t="shared" si="3"/>
        <v>50000.70931020001</v>
      </c>
      <c r="BG6" s="284">
        <v>31952.81</v>
      </c>
      <c r="BH6" s="454">
        <v>0</v>
      </c>
      <c r="BI6" s="455">
        <v>20000</v>
      </c>
      <c r="BJ6" s="464">
        <f t="shared" si="4"/>
        <v>50000.70931020001</v>
      </c>
      <c r="BK6" s="486">
        <v>58759</v>
      </c>
      <c r="BL6" s="483">
        <f t="shared" si="5"/>
        <v>8758.290689799993</v>
      </c>
      <c r="BM6" s="306">
        <v>0</v>
      </c>
      <c r="BN6" s="383">
        <f t="shared" si="6"/>
        <v>19999.620000000003</v>
      </c>
      <c r="BO6" s="24">
        <f aca="true" t="shared" si="8" ref="BO6:BO11">BM6+BN6</f>
        <v>19999.620000000003</v>
      </c>
      <c r="BP6" s="502">
        <f>192+8566.29</f>
        <v>8758.29</v>
      </c>
      <c r="BQ6" s="466">
        <f>BI6+BO6+837.38</f>
        <v>40837</v>
      </c>
      <c r="BR6" s="513">
        <v>40837</v>
      </c>
      <c r="BS6" s="483">
        <f aca="true" t="shared" si="9" ref="BS6:BS20">BQ6-BR6</f>
        <v>0</v>
      </c>
      <c r="BT6" s="521">
        <v>837.38</v>
      </c>
      <c r="BU6" s="493">
        <f>AY6+BK6+BR6</f>
        <v>151024</v>
      </c>
      <c r="BV6" s="353">
        <f t="shared" si="7"/>
        <v>594486</v>
      </c>
      <c r="BW6" s="136">
        <f>S6+AG6+AQ6+AY6+BK6+BR6</f>
        <v>594486</v>
      </c>
      <c r="BX6" s="82"/>
    </row>
    <row r="7" spans="1:76" s="5" customFormat="1" ht="24" customHeight="1">
      <c r="A7" s="4">
        <v>3</v>
      </c>
      <c r="B7" s="389" t="s">
        <v>117</v>
      </c>
      <c r="C7" s="136">
        <v>1243520</v>
      </c>
      <c r="D7" s="33">
        <f>21597.35+232.65</f>
        <v>21830</v>
      </c>
      <c r="E7" s="215">
        <v>71280</v>
      </c>
      <c r="F7" s="183">
        <f>D7-E7</f>
        <v>-49450</v>
      </c>
      <c r="G7" s="32">
        <f>(C7+E7)/13</f>
        <v>101138.46153846153</v>
      </c>
      <c r="H7" s="33">
        <f>21553-232.65</f>
        <v>21320.35</v>
      </c>
      <c r="I7" s="32">
        <f>G7*H23/100</f>
        <v>3097.6208414579914</v>
      </c>
      <c r="J7" s="168">
        <f>H7+I7</f>
        <v>24417.97084145799</v>
      </c>
      <c r="K7" s="45">
        <v>60930</v>
      </c>
      <c r="L7" s="183">
        <f>J7-K7</f>
        <v>-36512.029158542005</v>
      </c>
      <c r="M7" s="227">
        <f>(C7+E7+K7)/14</f>
        <v>98266.42857142857</v>
      </c>
      <c r="N7" s="33">
        <v>21553</v>
      </c>
      <c r="O7" s="227">
        <f>M7*M23/100</f>
        <v>1787.9381996259417</v>
      </c>
      <c r="P7" s="250">
        <f>N7+O7+29.06</f>
        <v>23369.99819962594</v>
      </c>
      <c r="Q7" s="45">
        <v>175970</v>
      </c>
      <c r="R7" s="183">
        <f>P7-Q7</f>
        <v>-152600.00180037407</v>
      </c>
      <c r="S7" s="74">
        <f>E7+K7+Q7</f>
        <v>308180</v>
      </c>
      <c r="T7" s="266">
        <f>21770.7-29.06+143.36</f>
        <v>21885</v>
      </c>
      <c r="U7" s="280">
        <v>28485</v>
      </c>
      <c r="V7" s="294">
        <f>T7-U7</f>
        <v>-6600</v>
      </c>
      <c r="W7" s="224">
        <f>(C7+S7+U7)/16</f>
        <v>98761.5625</v>
      </c>
      <c r="X7" s="266">
        <f>W7*X25/100</f>
        <v>13642.831257451353</v>
      </c>
      <c r="Y7" s="284">
        <v>140623.19</v>
      </c>
      <c r="Z7" s="79">
        <f>20000-143.36</f>
        <v>19856.64</v>
      </c>
      <c r="AA7" s="333">
        <f>X7+Z7+750.53</f>
        <v>34250.00125745135</v>
      </c>
      <c r="AB7" s="336">
        <v>112675</v>
      </c>
      <c r="AC7" s="339">
        <f>AA7-AB7</f>
        <v>-78424.99874254865</v>
      </c>
      <c r="AD7" s="306">
        <f>20000-750.53+2075.53</f>
        <v>21325</v>
      </c>
      <c r="AE7" s="76">
        <v>106925</v>
      </c>
      <c r="AF7" s="294">
        <f>AD7-AE7</f>
        <v>-85600</v>
      </c>
      <c r="AG7" s="74">
        <f>U7+AB7+AE7</f>
        <v>248085</v>
      </c>
      <c r="AH7" s="79">
        <f>20000-2075.53+160.53</f>
        <v>18085</v>
      </c>
      <c r="AI7" s="76">
        <v>68585</v>
      </c>
      <c r="AJ7" s="355">
        <f>AH7-AI7</f>
        <v>-50500</v>
      </c>
      <c r="AK7" s="79">
        <f>20000-160.53+145.53</f>
        <v>19985</v>
      </c>
      <c r="AL7" s="361">
        <v>110055</v>
      </c>
      <c r="AM7" s="367">
        <f>AK7-AL7</f>
        <v>-90070</v>
      </c>
      <c r="AN7" s="24">
        <f>20000-145.53+1200.53</f>
        <v>21055</v>
      </c>
      <c r="AO7" s="76">
        <v>119355</v>
      </c>
      <c r="AP7" s="394">
        <f t="shared" si="0"/>
        <v>-98300</v>
      </c>
      <c r="AQ7" s="74">
        <f t="shared" si="1"/>
        <v>297995</v>
      </c>
      <c r="AR7" s="24">
        <f>(S7+AG7+AQ7)/9</f>
        <v>94917.77777777778</v>
      </c>
      <c r="AS7" s="224">
        <f>AR7*AR25/100</f>
        <v>0</v>
      </c>
      <c r="AT7" s="284">
        <v>27880.53</v>
      </c>
      <c r="AU7" s="306">
        <v>20623</v>
      </c>
      <c r="AV7" s="383">
        <v>5000</v>
      </c>
      <c r="AW7" s="378">
        <f>AU7+AV7-1200.53</f>
        <v>24422.47</v>
      </c>
      <c r="AX7" s="306">
        <f>AS7+AW7</f>
        <v>24422.47</v>
      </c>
      <c r="AY7" s="435">
        <v>108185</v>
      </c>
      <c r="AZ7" s="186">
        <f t="shared" si="2"/>
        <v>-83762.53</v>
      </c>
      <c r="BA7" s="24">
        <f>(S7+AG7+AQ7+AY7)/10</f>
        <v>96244.5</v>
      </c>
      <c r="BB7" s="448">
        <f>BA7*AZ25/100</f>
        <v>0</v>
      </c>
      <c r="BC7" s="306">
        <v>20000.19</v>
      </c>
      <c r="BD7" s="383">
        <v>5000</v>
      </c>
      <c r="BE7" s="24">
        <f>BC7+BD7</f>
        <v>25000.19</v>
      </c>
      <c r="BF7" s="453">
        <f t="shared" si="3"/>
        <v>25000.19</v>
      </c>
      <c r="BG7" s="284">
        <v>16626.63</v>
      </c>
      <c r="BH7" s="454">
        <v>6626.63</v>
      </c>
      <c r="BI7" s="455">
        <f>BG7-BH7</f>
        <v>10000</v>
      </c>
      <c r="BJ7" s="464">
        <f t="shared" si="4"/>
        <v>31626.82</v>
      </c>
      <c r="BK7" s="486">
        <v>117020</v>
      </c>
      <c r="BL7" s="483">
        <f t="shared" si="5"/>
        <v>85393.18</v>
      </c>
      <c r="BM7" s="306">
        <v>0.0030900000165274832</v>
      </c>
      <c r="BN7" s="383">
        <f t="shared" si="6"/>
        <v>17880.53</v>
      </c>
      <c r="BO7" s="24">
        <f t="shared" si="8"/>
        <v>17880.533090000015</v>
      </c>
      <c r="BP7" s="502">
        <v>83860.97</v>
      </c>
      <c r="BQ7" s="466">
        <f>BI7+BO7+38749.47</f>
        <v>66630.00309000001</v>
      </c>
      <c r="BR7" s="513">
        <v>66630</v>
      </c>
      <c r="BS7" s="483">
        <f t="shared" si="9"/>
        <v>0.0030900000128895044</v>
      </c>
      <c r="BT7" s="521">
        <v>38749.47</v>
      </c>
      <c r="BU7" s="493">
        <f aca="true" t="shared" si="10" ref="BU7:BU20">AY7+BK7+BR7</f>
        <v>291835</v>
      </c>
      <c r="BV7" s="353">
        <f t="shared" si="7"/>
        <v>1146095</v>
      </c>
      <c r="BW7" s="136">
        <f aca="true" t="shared" si="11" ref="BW7:BW20">S7+AG7+AQ7+AY7+BK7+BR7</f>
        <v>1146095</v>
      </c>
      <c r="BX7" s="82"/>
    </row>
    <row r="8" spans="1:76" s="5" customFormat="1" ht="24" customHeight="1">
      <c r="A8" s="4">
        <v>4</v>
      </c>
      <c r="B8" s="388" t="s">
        <v>118</v>
      </c>
      <c r="C8" s="136"/>
      <c r="D8" s="33"/>
      <c r="E8" s="215"/>
      <c r="F8" s="183"/>
      <c r="G8" s="32"/>
      <c r="H8" s="33"/>
      <c r="I8" s="32"/>
      <c r="J8" s="168"/>
      <c r="K8" s="45"/>
      <c r="L8" s="183"/>
      <c r="M8" s="227"/>
      <c r="N8" s="33"/>
      <c r="O8" s="227"/>
      <c r="P8" s="250"/>
      <c r="Q8" s="45"/>
      <c r="R8" s="183"/>
      <c r="S8" s="74"/>
      <c r="T8" s="266"/>
      <c r="U8" s="280"/>
      <c r="V8" s="294"/>
      <c r="W8" s="224"/>
      <c r="X8" s="266"/>
      <c r="Y8" s="284"/>
      <c r="Z8" s="79"/>
      <c r="AA8" s="333"/>
      <c r="AB8" s="336"/>
      <c r="AC8" s="339"/>
      <c r="AD8" s="306"/>
      <c r="AE8" s="76"/>
      <c r="AF8" s="294"/>
      <c r="AG8" s="74"/>
      <c r="AH8" s="79"/>
      <c r="AI8" s="76"/>
      <c r="AJ8" s="355"/>
      <c r="AK8" s="79"/>
      <c r="AL8" s="361"/>
      <c r="AM8" s="367"/>
      <c r="AN8" s="24">
        <v>0</v>
      </c>
      <c r="AO8" s="76">
        <v>0</v>
      </c>
      <c r="AP8" s="82">
        <f t="shared" si="0"/>
        <v>0</v>
      </c>
      <c r="AQ8" s="74">
        <f t="shared" si="1"/>
        <v>0</v>
      </c>
      <c r="AR8" s="24"/>
      <c r="AS8" s="224"/>
      <c r="AT8" s="284">
        <v>40544.33</v>
      </c>
      <c r="AU8" s="306">
        <v>0</v>
      </c>
      <c r="AV8" s="383">
        <v>15000</v>
      </c>
      <c r="AW8" s="378">
        <f>AU8+AV8</f>
        <v>15000</v>
      </c>
      <c r="AX8" s="306">
        <f>AS8+AW8+600</f>
        <v>15600</v>
      </c>
      <c r="AY8" s="435">
        <v>62380</v>
      </c>
      <c r="AZ8" s="186">
        <f t="shared" si="2"/>
        <v>-46780</v>
      </c>
      <c r="BA8" s="24">
        <f>(S8+AG8+AQ8+AY8)/1</f>
        <v>62380</v>
      </c>
      <c r="BB8" s="448">
        <f>BA8*AZ25/100</f>
        <v>0</v>
      </c>
      <c r="BC8" s="306">
        <v>0</v>
      </c>
      <c r="BD8" s="383">
        <v>15000</v>
      </c>
      <c r="BE8" s="24">
        <f>BC8+BD8-600</f>
        <v>14400</v>
      </c>
      <c r="BF8" s="453">
        <f t="shared" si="3"/>
        <v>14400</v>
      </c>
      <c r="BG8" s="284">
        <v>26226.62</v>
      </c>
      <c r="BH8" s="454">
        <v>16226.62</v>
      </c>
      <c r="BI8" s="455">
        <f>BG8-BH8</f>
        <v>9999.999999999998</v>
      </c>
      <c r="BJ8" s="464">
        <f t="shared" si="4"/>
        <v>30626.620000000003</v>
      </c>
      <c r="BK8" s="486">
        <v>146720</v>
      </c>
      <c r="BL8" s="483">
        <f t="shared" si="5"/>
        <v>116093.38</v>
      </c>
      <c r="BM8" s="306">
        <v>0</v>
      </c>
      <c r="BN8" s="383">
        <f t="shared" si="6"/>
        <v>10544.330000000002</v>
      </c>
      <c r="BO8" s="24">
        <f t="shared" si="8"/>
        <v>10544.330000000002</v>
      </c>
      <c r="BP8" s="502">
        <f>77950+3750+4400+27400+700</f>
        <v>114200</v>
      </c>
      <c r="BQ8" s="466">
        <f>BI8+BO8+158150.67</f>
        <v>178695</v>
      </c>
      <c r="BR8" s="513">
        <v>178695</v>
      </c>
      <c r="BS8" s="483">
        <f t="shared" si="9"/>
        <v>0</v>
      </c>
      <c r="BT8" s="521">
        <v>101180</v>
      </c>
      <c r="BU8" s="493">
        <f t="shared" si="10"/>
        <v>387795</v>
      </c>
      <c r="BV8" s="353">
        <f t="shared" si="7"/>
        <v>387795</v>
      </c>
      <c r="BW8" s="136">
        <f t="shared" si="11"/>
        <v>387795</v>
      </c>
      <c r="BX8" s="82"/>
    </row>
    <row r="9" spans="1:76" s="5" customFormat="1" ht="24" customHeight="1">
      <c r="A9" s="4">
        <v>5</v>
      </c>
      <c r="B9" s="388" t="s">
        <v>119</v>
      </c>
      <c r="C9" s="136"/>
      <c r="D9" s="33"/>
      <c r="E9" s="215"/>
      <c r="F9" s="183"/>
      <c r="G9" s="32"/>
      <c r="H9" s="33"/>
      <c r="I9" s="32"/>
      <c r="J9" s="168"/>
      <c r="K9" s="45"/>
      <c r="L9" s="183"/>
      <c r="M9" s="227"/>
      <c r="N9" s="33"/>
      <c r="O9" s="227"/>
      <c r="P9" s="250"/>
      <c r="Q9" s="45"/>
      <c r="R9" s="183"/>
      <c r="S9" s="74"/>
      <c r="T9" s="266"/>
      <c r="U9" s="280"/>
      <c r="V9" s="294"/>
      <c r="W9" s="224"/>
      <c r="X9" s="266"/>
      <c r="Y9" s="284"/>
      <c r="Z9" s="79"/>
      <c r="AA9" s="333"/>
      <c r="AB9" s="336"/>
      <c r="AC9" s="339"/>
      <c r="AD9" s="306"/>
      <c r="AE9" s="76"/>
      <c r="AF9" s="294"/>
      <c r="AG9" s="74"/>
      <c r="AH9" s="79"/>
      <c r="AI9" s="76"/>
      <c r="AJ9" s="355"/>
      <c r="AK9" s="79"/>
      <c r="AL9" s="361"/>
      <c r="AM9" s="367"/>
      <c r="AN9" s="24">
        <v>0</v>
      </c>
      <c r="AO9" s="76">
        <v>0</v>
      </c>
      <c r="AP9" s="82">
        <f t="shared" si="0"/>
        <v>0</v>
      </c>
      <c r="AQ9" s="74">
        <f t="shared" si="1"/>
        <v>0</v>
      </c>
      <c r="AR9" s="24"/>
      <c r="AS9" s="224"/>
      <c r="AT9" s="284">
        <v>16166.46</v>
      </c>
      <c r="AU9" s="306">
        <v>0</v>
      </c>
      <c r="AV9" s="383">
        <v>6000</v>
      </c>
      <c r="AW9" s="378">
        <f>AU9+AV9</f>
        <v>6000</v>
      </c>
      <c r="AX9" s="306">
        <f>AS9+AW9</f>
        <v>6000</v>
      </c>
      <c r="AY9" s="435">
        <v>34370</v>
      </c>
      <c r="AZ9" s="186">
        <f t="shared" si="2"/>
        <v>-28370</v>
      </c>
      <c r="BA9" s="24">
        <f>(S9+AG9+AQ9+AY9)/1</f>
        <v>34370</v>
      </c>
      <c r="BB9" s="448">
        <f>BA9*AZ25/100</f>
        <v>0</v>
      </c>
      <c r="BC9" s="306">
        <v>0</v>
      </c>
      <c r="BD9" s="383">
        <v>6000</v>
      </c>
      <c r="BE9" s="24">
        <f>BC9+BD9</f>
        <v>6000</v>
      </c>
      <c r="BF9" s="453">
        <f t="shared" si="3"/>
        <v>6000</v>
      </c>
      <c r="BG9" s="284">
        <v>10457.48</v>
      </c>
      <c r="BH9" s="454">
        <v>6000</v>
      </c>
      <c r="BI9" s="455">
        <f>BG9-BH9</f>
        <v>4457.48</v>
      </c>
      <c r="BJ9" s="464">
        <f t="shared" si="4"/>
        <v>12000</v>
      </c>
      <c r="BK9" s="486">
        <v>63140</v>
      </c>
      <c r="BL9" s="483">
        <f t="shared" si="5"/>
        <v>51140</v>
      </c>
      <c r="BM9" s="306">
        <v>0</v>
      </c>
      <c r="BN9" s="383">
        <f t="shared" si="6"/>
        <v>4166.459999999999</v>
      </c>
      <c r="BO9" s="24">
        <f t="shared" si="8"/>
        <v>4166.459999999999</v>
      </c>
      <c r="BP9" s="502">
        <v>50350</v>
      </c>
      <c r="BQ9" s="466">
        <f>BI9+BO9+44981.06</f>
        <v>53605</v>
      </c>
      <c r="BR9" s="513">
        <v>53605</v>
      </c>
      <c r="BS9" s="483">
        <f t="shared" si="9"/>
        <v>0</v>
      </c>
      <c r="BT9" s="521">
        <v>39850</v>
      </c>
      <c r="BU9" s="493">
        <f t="shared" si="10"/>
        <v>151115</v>
      </c>
      <c r="BV9" s="353">
        <f t="shared" si="7"/>
        <v>151115</v>
      </c>
      <c r="BW9" s="136">
        <f t="shared" si="11"/>
        <v>151115</v>
      </c>
      <c r="BX9" s="82"/>
    </row>
    <row r="10" spans="1:76" s="5" customFormat="1" ht="26.25" customHeight="1">
      <c r="A10" s="4">
        <v>6</v>
      </c>
      <c r="B10" s="117" t="s">
        <v>6</v>
      </c>
      <c r="C10" s="136">
        <v>158383</v>
      </c>
      <c r="D10" s="33">
        <f>12001.81+1135.19</f>
        <v>13137</v>
      </c>
      <c r="E10" s="215">
        <v>13137</v>
      </c>
      <c r="F10" s="32">
        <f>D10-E10</f>
        <v>0</v>
      </c>
      <c r="G10" s="32">
        <f>(C10+E10)/13</f>
        <v>13193.846153846154</v>
      </c>
      <c r="H10" s="33">
        <f>11966.32-1135.19</f>
        <v>10831.13</v>
      </c>
      <c r="I10" s="32">
        <f>G10*H23/100</f>
        <v>404.09486364988953</v>
      </c>
      <c r="J10" s="168">
        <f>H10+I10+1121.78</f>
        <v>12357.004863649889</v>
      </c>
      <c r="K10" s="45">
        <v>12357</v>
      </c>
      <c r="L10" s="32">
        <f>J10-K10</f>
        <v>0.0048636498886480695</v>
      </c>
      <c r="M10" s="227">
        <f>(C10+E10+K10)/14</f>
        <v>13134.07142857143</v>
      </c>
      <c r="N10" s="33">
        <f>11966.32-1121.78</f>
        <v>10844.539999999999</v>
      </c>
      <c r="O10" s="227">
        <f>M10*M23/100</f>
        <v>238.97182756254446</v>
      </c>
      <c r="P10" s="250">
        <f>N10+O10</f>
        <v>11083.511827562543</v>
      </c>
      <c r="Q10" s="45">
        <v>11083</v>
      </c>
      <c r="R10" s="32">
        <f>P10-Q10</f>
        <v>0.5118275625427486</v>
      </c>
      <c r="S10" s="74">
        <f>E10+K10+Q10</f>
        <v>36577</v>
      </c>
      <c r="T10" s="266">
        <f>12087.19+1111.81</f>
        <v>13199</v>
      </c>
      <c r="U10" s="280">
        <v>13199</v>
      </c>
      <c r="V10" s="266">
        <f>T10-U10</f>
        <v>0</v>
      </c>
      <c r="W10" s="224">
        <f>(C10+S10+U10)/16</f>
        <v>13009.9375</v>
      </c>
      <c r="X10" s="266">
        <f>W10*X25/100</f>
        <v>1797.1807805540595</v>
      </c>
      <c r="Y10" s="284">
        <v>77123.49</v>
      </c>
      <c r="Z10" s="79">
        <f>12000-1111.81</f>
        <v>10888.19</v>
      </c>
      <c r="AA10" s="333">
        <f>X10+Z10+1265.63</f>
        <v>13951.000780554059</v>
      </c>
      <c r="AB10" s="336">
        <v>13951</v>
      </c>
      <c r="AC10" s="334">
        <f>AA10-AB10</f>
        <v>0.0007805540590197779</v>
      </c>
      <c r="AD10" s="306">
        <f>12000-1265.63+9.63</f>
        <v>10743.999999999998</v>
      </c>
      <c r="AE10" s="76">
        <v>10954</v>
      </c>
      <c r="AF10" s="348">
        <f>AD10-AE10</f>
        <v>-210.00000000000182</v>
      </c>
      <c r="AG10" s="74">
        <f>U10+AB10+AE10</f>
        <v>38104</v>
      </c>
      <c r="AH10" s="79">
        <f>12000-9.63+1174.63</f>
        <v>13165</v>
      </c>
      <c r="AI10" s="76">
        <v>13165</v>
      </c>
      <c r="AJ10" s="79">
        <f>AH10-AI10</f>
        <v>0</v>
      </c>
      <c r="AK10" s="79">
        <f>12000-1174.63+1086.63</f>
        <v>11912</v>
      </c>
      <c r="AL10" s="361">
        <v>11912</v>
      </c>
      <c r="AM10" s="359">
        <f>AK10-AL10</f>
        <v>0</v>
      </c>
      <c r="AN10" s="24">
        <f>12000-1086.63</f>
        <v>10913.369999999999</v>
      </c>
      <c r="AO10" s="76">
        <v>10913</v>
      </c>
      <c r="AP10" s="82">
        <f t="shared" si="0"/>
        <v>0.36999999999898137</v>
      </c>
      <c r="AQ10" s="74">
        <f t="shared" si="1"/>
        <v>35990</v>
      </c>
      <c r="AR10" s="24">
        <f>(S10+AG10+AQ10)/9</f>
        <v>12296.777777777777</v>
      </c>
      <c r="AS10" s="224">
        <f>AR10*AR25/100</f>
        <v>0</v>
      </c>
      <c r="AT10" s="284">
        <v>14162.82</v>
      </c>
      <c r="AU10" s="306">
        <v>12000</v>
      </c>
      <c r="AV10" s="383">
        <v>0</v>
      </c>
      <c r="AW10" s="378">
        <f>AU10+AV10</f>
        <v>12000</v>
      </c>
      <c r="AX10" s="306">
        <f>AS10+AW10+1226.55</f>
        <v>13226.55</v>
      </c>
      <c r="AY10" s="435">
        <v>13552</v>
      </c>
      <c r="AZ10" s="24">
        <f t="shared" si="2"/>
        <v>-325.4500000000007</v>
      </c>
      <c r="BA10" s="24">
        <f>(S10+AG10+AQ10+AY10)/10</f>
        <v>12422.3</v>
      </c>
      <c r="BB10" s="448">
        <f>BA10*AZ25/100</f>
        <v>0</v>
      </c>
      <c r="BC10" s="306">
        <v>5123.493752520008</v>
      </c>
      <c r="BD10" s="383">
        <v>6877</v>
      </c>
      <c r="BE10" s="24">
        <f>BC10+BD10-1226.55</f>
        <v>10773.943752520008</v>
      </c>
      <c r="BF10" s="453">
        <f t="shared" si="3"/>
        <v>10773.943752520008</v>
      </c>
      <c r="BG10" s="284">
        <v>9161.4</v>
      </c>
      <c r="BH10" s="454">
        <v>6000</v>
      </c>
      <c r="BI10" s="455">
        <f>BG10-BH10</f>
        <v>3161.3999999999996</v>
      </c>
      <c r="BJ10" s="464">
        <f t="shared" si="4"/>
        <v>16773.94375252001</v>
      </c>
      <c r="BK10" s="486">
        <v>19603</v>
      </c>
      <c r="BL10" s="483">
        <f t="shared" si="5"/>
        <v>2829.0562474799917</v>
      </c>
      <c r="BM10" s="306">
        <v>0</v>
      </c>
      <c r="BN10" s="383">
        <f t="shared" si="6"/>
        <v>7285.82</v>
      </c>
      <c r="BO10" s="24">
        <f t="shared" si="8"/>
        <v>7285.82</v>
      </c>
      <c r="BP10" s="501"/>
      <c r="BQ10" s="466">
        <f>BI10+BO10+6730.78</f>
        <v>17178</v>
      </c>
      <c r="BR10" s="513">
        <v>17178</v>
      </c>
      <c r="BS10" s="483">
        <f t="shared" si="9"/>
        <v>0</v>
      </c>
      <c r="BT10" s="516"/>
      <c r="BU10" s="493">
        <f t="shared" si="10"/>
        <v>50333</v>
      </c>
      <c r="BV10" s="353">
        <f t="shared" si="7"/>
        <v>161004</v>
      </c>
      <c r="BW10" s="136">
        <f t="shared" si="11"/>
        <v>161004</v>
      </c>
      <c r="BX10" s="82"/>
    </row>
    <row r="11" spans="1:76" s="5" customFormat="1" ht="26.25" customHeight="1" thickBot="1">
      <c r="A11" s="4">
        <v>7</v>
      </c>
      <c r="B11" s="117" t="s">
        <v>10</v>
      </c>
      <c r="C11" s="136">
        <v>95375</v>
      </c>
      <c r="D11" s="33">
        <f>6662.76+652.24</f>
        <v>7315</v>
      </c>
      <c r="E11" s="215">
        <v>7725</v>
      </c>
      <c r="F11" s="183">
        <f>D11-E11</f>
        <v>-410</v>
      </c>
      <c r="G11" s="32">
        <f>(C11+E11)/13</f>
        <v>7930.7692307692305</v>
      </c>
      <c r="H11" s="33">
        <f>7170.08-652.24</f>
        <v>6517.84</v>
      </c>
      <c r="I11" s="32">
        <f>G11*H23/100</f>
        <v>242.8998393324604</v>
      </c>
      <c r="J11" s="168">
        <f>H11+I11+669.26</f>
        <v>7429.99983933246</v>
      </c>
      <c r="K11" s="45">
        <v>7745</v>
      </c>
      <c r="L11" s="183">
        <f>J11-K11</f>
        <v>-315.0001606675396</v>
      </c>
      <c r="M11" s="227">
        <f>(C11+E11+K11)/14</f>
        <v>7917.5</v>
      </c>
      <c r="N11" s="33">
        <f>7170.08-669.26</f>
        <v>6500.82</v>
      </c>
      <c r="O11" s="227">
        <f>M11*M23/100</f>
        <v>144.05734391016952</v>
      </c>
      <c r="P11" s="250">
        <f>N11+O11</f>
        <v>6644.87734391017</v>
      </c>
      <c r="Q11" s="45">
        <v>6850</v>
      </c>
      <c r="R11" s="183">
        <f>P11-Q11</f>
        <v>-205.12265608983034</v>
      </c>
      <c r="S11" s="74">
        <f>E11+K11+Q11</f>
        <v>22320</v>
      </c>
      <c r="T11" s="266">
        <f>7242.51+722.49</f>
        <v>7965</v>
      </c>
      <c r="U11" s="280">
        <v>7965</v>
      </c>
      <c r="V11" s="266">
        <f>T11-U11</f>
        <v>0</v>
      </c>
      <c r="W11" s="224">
        <f>(C11+S11+U11)/16</f>
        <v>7853.75</v>
      </c>
      <c r="X11" s="266">
        <f>W11*X25/100</f>
        <v>1084.9097895571324</v>
      </c>
      <c r="Y11" s="284">
        <v>46932.6</v>
      </c>
      <c r="Z11" s="79">
        <f>7000-722.49</f>
        <v>6277.51</v>
      </c>
      <c r="AA11" s="333">
        <f>X11+Z11</f>
        <v>7362.419789557132</v>
      </c>
      <c r="AB11" s="336">
        <v>7560</v>
      </c>
      <c r="AC11" s="339">
        <f>AA11-AB11</f>
        <v>-197.5802104428676</v>
      </c>
      <c r="AD11" s="306">
        <v>7000</v>
      </c>
      <c r="AE11" s="76">
        <v>7175</v>
      </c>
      <c r="AF11" s="294">
        <f>AD11-AE11</f>
        <v>-175</v>
      </c>
      <c r="AG11" s="74">
        <f>U11+AB11+AE11</f>
        <v>22700</v>
      </c>
      <c r="AH11" s="79">
        <v>7000</v>
      </c>
      <c r="AI11" s="76">
        <v>8200</v>
      </c>
      <c r="AJ11" s="355">
        <f>AH11-AI11</f>
        <v>-1200</v>
      </c>
      <c r="AK11" s="79">
        <v>7000</v>
      </c>
      <c r="AL11" s="361">
        <v>7390</v>
      </c>
      <c r="AM11" s="367">
        <f>AK11-AL11</f>
        <v>-390</v>
      </c>
      <c r="AN11" s="24">
        <v>7000</v>
      </c>
      <c r="AO11" s="76">
        <v>7650</v>
      </c>
      <c r="AP11" s="395">
        <f t="shared" si="0"/>
        <v>-650</v>
      </c>
      <c r="AQ11" s="74">
        <f t="shared" si="1"/>
        <v>23240</v>
      </c>
      <c r="AR11" s="24">
        <f>(S11+AG11+AQ11)/9</f>
        <v>7584.444444444444</v>
      </c>
      <c r="AS11" s="224">
        <f>AR11*AR25/100</f>
        <v>0</v>
      </c>
      <c r="AT11" s="284">
        <v>8618.62</v>
      </c>
      <c r="AU11" s="306">
        <v>7000</v>
      </c>
      <c r="AV11" s="383">
        <v>0</v>
      </c>
      <c r="AW11" s="378">
        <f>AU11+AV11</f>
        <v>7000</v>
      </c>
      <c r="AX11" s="306">
        <f>AS11+AW11</f>
        <v>7000</v>
      </c>
      <c r="AY11" s="435">
        <v>7655</v>
      </c>
      <c r="AZ11" s="186">
        <f t="shared" si="2"/>
        <v>-655</v>
      </c>
      <c r="BA11" s="444">
        <f>(S11+AG11+AQ11+AY11)/10</f>
        <v>7591.5</v>
      </c>
      <c r="BB11" s="448">
        <f>BA11*AZ25/100</f>
        <v>0</v>
      </c>
      <c r="BC11" s="306">
        <v>4932.596685000004</v>
      </c>
      <c r="BD11" s="383">
        <v>4068</v>
      </c>
      <c r="BE11" s="24">
        <f>BC11+BD11</f>
        <v>9000.596685000004</v>
      </c>
      <c r="BF11" s="453">
        <f t="shared" si="3"/>
        <v>9000.596685000004</v>
      </c>
      <c r="BG11" s="285">
        <v>5575.06</v>
      </c>
      <c r="BH11" s="454">
        <v>4575.06</v>
      </c>
      <c r="BI11" s="455">
        <f>BG11-BH11</f>
        <v>1000</v>
      </c>
      <c r="BJ11" s="464">
        <f t="shared" si="4"/>
        <v>13575.656685000005</v>
      </c>
      <c r="BK11" s="486">
        <v>14810</v>
      </c>
      <c r="BL11" s="483">
        <f t="shared" si="5"/>
        <v>1234.3433149999946</v>
      </c>
      <c r="BM11" s="306">
        <v>0</v>
      </c>
      <c r="BN11" s="383">
        <f t="shared" si="6"/>
        <v>4550.620000000001</v>
      </c>
      <c r="BO11" s="24">
        <f t="shared" si="8"/>
        <v>4550.620000000001</v>
      </c>
      <c r="BP11" s="502">
        <v>60</v>
      </c>
      <c r="BQ11" s="466">
        <f>BI11+BO11+11599.38</f>
        <v>17150</v>
      </c>
      <c r="BR11" s="513">
        <v>17150</v>
      </c>
      <c r="BS11" s="483">
        <f t="shared" si="9"/>
        <v>0</v>
      </c>
      <c r="BT11" s="521">
        <v>420</v>
      </c>
      <c r="BU11" s="493">
        <f t="shared" si="10"/>
        <v>39615</v>
      </c>
      <c r="BV11" s="494">
        <f t="shared" si="7"/>
        <v>107875</v>
      </c>
      <c r="BW11" s="136">
        <f t="shared" si="11"/>
        <v>107875</v>
      </c>
      <c r="BX11" s="82"/>
    </row>
    <row r="12" spans="1:76" s="5" customFormat="1" ht="20.25" customHeight="1" thickBot="1">
      <c r="A12" s="4">
        <v>8</v>
      </c>
      <c r="B12" s="118" t="s">
        <v>1</v>
      </c>
      <c r="C12" s="47">
        <v>3105146</v>
      </c>
      <c r="D12" s="47">
        <f>SUM(D5:D11)</f>
        <v>185273.01</v>
      </c>
      <c r="E12" s="47">
        <f>SUM(E5:E11)</f>
        <v>243687</v>
      </c>
      <c r="F12" s="47">
        <f>F5+F10</f>
        <v>4125.550000000003</v>
      </c>
      <c r="G12" s="47">
        <f>SUM(G5:G11)</f>
        <v>173459</v>
      </c>
      <c r="H12" s="47">
        <f>SUM(H5:H11)</f>
        <v>181276.47</v>
      </c>
      <c r="I12" s="47">
        <f>SUM(I5:I11)</f>
        <v>5312.620000000002</v>
      </c>
      <c r="J12" s="47">
        <f>SUM(J5:J11)</f>
        <v>188535.34</v>
      </c>
      <c r="K12" s="47">
        <f>SUM(K5:K11)</f>
        <v>234311</v>
      </c>
      <c r="L12" s="47">
        <f>L5+L10</f>
        <v>10.36486364988923</v>
      </c>
      <c r="M12" s="47">
        <f>SUM(M5:M11)</f>
        <v>170588</v>
      </c>
      <c r="N12" s="47">
        <f>SUM(N5:N11)</f>
        <v>181350.30000000002</v>
      </c>
      <c r="O12" s="47">
        <f>SUM(O5:O11)</f>
        <v>3103.8148636498895</v>
      </c>
      <c r="P12" s="47">
        <f>SUM(P5:P11)</f>
        <v>184483.17486364988</v>
      </c>
      <c r="Q12" s="47">
        <f>SUM(Q5:Q11)</f>
        <v>354154</v>
      </c>
      <c r="R12" s="47">
        <f>R5+R10</f>
        <v>5.871827562543331</v>
      </c>
      <c r="S12" s="47">
        <f>SUM(S5:S11)</f>
        <v>832152</v>
      </c>
      <c r="T12" s="278">
        <f>SUM(T5:T11)</f>
        <v>187096.62</v>
      </c>
      <c r="U12" s="278">
        <f>SUM(U5:U11)</f>
        <v>180368</v>
      </c>
      <c r="V12" s="278">
        <f>V5+V6</f>
        <v>13328.620000000003</v>
      </c>
      <c r="W12" s="289">
        <f aca="true" t="shared" si="12" ref="W12:AB12">SUM(W5:W11)</f>
        <v>119625.25</v>
      </c>
      <c r="X12" s="289">
        <f t="shared" si="12"/>
        <v>16524.921827562546</v>
      </c>
      <c r="Y12" s="289">
        <f t="shared" si="12"/>
        <v>1148042.8</v>
      </c>
      <c r="Z12" s="289">
        <f t="shared" si="12"/>
        <v>176022.34000000003</v>
      </c>
      <c r="AA12" s="289">
        <f t="shared" si="12"/>
        <v>204042.42182756256</v>
      </c>
      <c r="AB12" s="289">
        <f t="shared" si="12"/>
        <v>288551</v>
      </c>
      <c r="AC12" s="289">
        <f>AC5</f>
        <v>1</v>
      </c>
      <c r="AD12" s="323">
        <f>SUM(AD5:AD11)</f>
        <v>179840</v>
      </c>
      <c r="AE12" s="311">
        <f>SUM(AE5:AE11)</f>
        <v>269469</v>
      </c>
      <c r="AF12" s="311">
        <f>AF5</f>
        <v>4</v>
      </c>
      <c r="AG12" s="289">
        <f>SUM(AG5:AG11)</f>
        <v>738388</v>
      </c>
      <c r="AH12" s="289">
        <f>SUM(AH5:AH11)</f>
        <v>166000</v>
      </c>
      <c r="AI12" s="289">
        <f>SUM(AI5:AI11)</f>
        <v>221570</v>
      </c>
      <c r="AJ12" s="289">
        <f>AJ5</f>
        <v>7</v>
      </c>
      <c r="AK12" s="289">
        <f>SUM(AK5:AK11)</f>
        <v>177897</v>
      </c>
      <c r="AL12" s="289">
        <f>SUM(AL5:AL11)</f>
        <v>276372</v>
      </c>
      <c r="AM12" s="289">
        <f>AM5+AM10</f>
        <v>0</v>
      </c>
      <c r="AN12" s="289">
        <f>SUM(AN5:AN11)</f>
        <v>179050.37</v>
      </c>
      <c r="AO12" s="289">
        <f>SUM(AO5:AO11)</f>
        <v>293011</v>
      </c>
      <c r="AP12" s="344">
        <f>AP5+AP8+AP9+AP10</f>
        <v>15.369999999998981</v>
      </c>
      <c r="AQ12" s="311">
        <f aca="true" t="shared" si="13" ref="AQ12:AY12">SUM(AQ5:AQ11)</f>
        <v>790953</v>
      </c>
      <c r="AR12" s="291">
        <f t="shared" si="13"/>
        <v>164072.55555555556</v>
      </c>
      <c r="AS12" s="311">
        <f t="shared" si="13"/>
        <v>0</v>
      </c>
      <c r="AT12" s="311">
        <f t="shared" si="13"/>
        <v>272526.88999999996</v>
      </c>
      <c r="AU12" s="323">
        <f t="shared" si="13"/>
        <v>178623</v>
      </c>
      <c r="AV12" s="384">
        <f t="shared" si="13"/>
        <v>37217</v>
      </c>
      <c r="AW12" s="384">
        <f t="shared" si="13"/>
        <v>213557.47</v>
      </c>
      <c r="AX12" s="421">
        <f t="shared" si="13"/>
        <v>164885.02</v>
      </c>
      <c r="AY12" s="427">
        <f t="shared" si="13"/>
        <v>326071</v>
      </c>
      <c r="AZ12" s="387">
        <f>AZ5+AZ6</f>
        <v>-1293</v>
      </c>
      <c r="BA12" s="445">
        <f aca="true" t="shared" si="14" ref="BA12:BX12">SUM(BA5:BA11)</f>
        <v>213008.3</v>
      </c>
      <c r="BB12" s="387">
        <f t="shared" si="14"/>
        <v>0</v>
      </c>
      <c r="BC12" s="422">
        <f t="shared" si="14"/>
        <v>79419.80275472003</v>
      </c>
      <c r="BD12" s="384">
        <f t="shared" si="14"/>
        <v>114092</v>
      </c>
      <c r="BE12" s="421">
        <f t="shared" si="14"/>
        <v>199974.76275472005</v>
      </c>
      <c r="BF12" s="421">
        <f t="shared" si="14"/>
        <v>199974.76275472005</v>
      </c>
      <c r="BG12" s="421">
        <f t="shared" si="14"/>
        <v>99999.99999999999</v>
      </c>
      <c r="BH12" s="459">
        <f t="shared" si="14"/>
        <v>39428.31</v>
      </c>
      <c r="BI12" s="387">
        <f t="shared" si="14"/>
        <v>48618.88</v>
      </c>
      <c r="BJ12" s="387">
        <f t="shared" si="14"/>
        <v>239403.07275472005</v>
      </c>
      <c r="BK12" s="487">
        <f t="shared" si="14"/>
        <v>501073</v>
      </c>
      <c r="BL12" s="387">
        <f t="shared" si="14"/>
        <v>261669.92724527995</v>
      </c>
      <c r="BM12" s="387">
        <f t="shared" si="14"/>
        <v>0.0030900000165274832</v>
      </c>
      <c r="BN12" s="387">
        <f t="shared" si="14"/>
        <v>121217.89000000001</v>
      </c>
      <c r="BO12" s="387">
        <f t="shared" si="14"/>
        <v>163427.38309</v>
      </c>
      <c r="BP12" s="387">
        <f t="shared" si="14"/>
        <v>257229.26</v>
      </c>
      <c r="BQ12" s="421">
        <f t="shared" si="14"/>
        <v>448609.00309</v>
      </c>
      <c r="BR12" s="421">
        <f>SUM(BR5:BR11)</f>
        <v>448609</v>
      </c>
      <c r="BS12" s="421">
        <f>SUM(BS5:BS11)</f>
        <v>0.0030900000128895044</v>
      </c>
      <c r="BT12" s="517">
        <f>SUM(BT5:BT11)</f>
        <v>181036.85</v>
      </c>
      <c r="BU12" s="517">
        <f>SUM(BU5:BU11)</f>
        <v>1275753</v>
      </c>
      <c r="BV12" s="450">
        <f t="shared" si="14"/>
        <v>3637246</v>
      </c>
      <c r="BW12" s="450">
        <f t="shared" si="14"/>
        <v>3637246</v>
      </c>
      <c r="BX12" s="268">
        <f t="shared" si="14"/>
        <v>0</v>
      </c>
    </row>
    <row r="13" spans="1:76" s="5" customFormat="1" ht="22.5" customHeight="1">
      <c r="A13" s="4">
        <v>9</v>
      </c>
      <c r="B13" s="56" t="s">
        <v>20</v>
      </c>
      <c r="C13" s="136">
        <v>15360</v>
      </c>
      <c r="D13" s="24">
        <v>1272.07</v>
      </c>
      <c r="E13" s="94">
        <v>1260</v>
      </c>
      <c r="F13" s="32">
        <f aca="true" t="shared" si="15" ref="F13:F20">D13-E13</f>
        <v>12.069999999999936</v>
      </c>
      <c r="G13" s="32"/>
      <c r="H13" s="24">
        <v>1268.31</v>
      </c>
      <c r="I13" s="23"/>
      <c r="J13" s="168">
        <f aca="true" t="shared" si="16" ref="J13:J20">H13+I13</f>
        <v>1268.31</v>
      </c>
      <c r="K13" s="45">
        <v>1260</v>
      </c>
      <c r="L13" s="32">
        <f aca="true" t="shared" si="17" ref="L13:L20">J13-K13</f>
        <v>8.309999999999945</v>
      </c>
      <c r="M13" s="32"/>
      <c r="N13" s="33">
        <v>1268.31</v>
      </c>
      <c r="O13" s="32"/>
      <c r="P13" s="250">
        <f aca="true" t="shared" si="18" ref="P13:P20">N13+O13</f>
        <v>1268.31</v>
      </c>
      <c r="Q13" s="45">
        <v>1260</v>
      </c>
      <c r="R13" s="32">
        <f aca="true" t="shared" si="19" ref="R13:R20">P13-Q13</f>
        <v>8.309999999999945</v>
      </c>
      <c r="S13" s="74">
        <f aca="true" t="shared" si="20" ref="S13:S20">E13+K13+Q13</f>
        <v>3780</v>
      </c>
      <c r="T13" s="266">
        <v>1281.12</v>
      </c>
      <c r="U13" s="280">
        <v>1260</v>
      </c>
      <c r="V13" s="266">
        <f aca="true" t="shared" si="21" ref="V13:V20">T13-U13</f>
        <v>21.11999999999989</v>
      </c>
      <c r="W13" s="224">
        <v>0</v>
      </c>
      <c r="X13" s="266"/>
      <c r="Y13" s="284">
        <v>8301.85</v>
      </c>
      <c r="Z13" s="79">
        <v>960</v>
      </c>
      <c r="AA13" s="332">
        <f aca="true" t="shared" si="22" ref="AA13:AA20">X13+Z13</f>
        <v>960</v>
      </c>
      <c r="AB13" s="335">
        <v>960</v>
      </c>
      <c r="AC13" s="334">
        <f aca="true" t="shared" si="23" ref="AC13:AC20">AA13-AB13</f>
        <v>0</v>
      </c>
      <c r="AD13" s="306">
        <v>960</v>
      </c>
      <c r="AE13" s="76">
        <v>960</v>
      </c>
      <c r="AF13" s="306">
        <f aca="true" t="shared" si="24" ref="AF13:AF20">AD13-AE13</f>
        <v>0</v>
      </c>
      <c r="AG13" s="74">
        <f aca="true" t="shared" si="25" ref="AG13:AG20">U13+AB13+AE13</f>
        <v>3180</v>
      </c>
      <c r="AH13" s="79">
        <v>1200</v>
      </c>
      <c r="AI13" s="76">
        <v>1200</v>
      </c>
      <c r="AJ13" s="79">
        <f aca="true" t="shared" si="26" ref="AJ13:AJ20">AH13-AI13</f>
        <v>0</v>
      </c>
      <c r="AK13" s="79">
        <v>1200</v>
      </c>
      <c r="AL13" s="361">
        <v>1200</v>
      </c>
      <c r="AM13" s="359">
        <f aca="true" t="shared" si="27" ref="AM13:AM20">AK13-AL13</f>
        <v>0</v>
      </c>
      <c r="AN13" s="24">
        <v>1200</v>
      </c>
      <c r="AO13" s="76">
        <v>1200</v>
      </c>
      <c r="AP13" s="396">
        <f aca="true" t="shared" si="28" ref="AP13:AP20">AN13-AO13</f>
        <v>0</v>
      </c>
      <c r="AQ13" s="74">
        <f aca="true" t="shared" si="29" ref="AQ13:AQ20">AI13+AL13+AO13</f>
        <v>3600</v>
      </c>
      <c r="AR13" s="404"/>
      <c r="AS13" s="224"/>
      <c r="AT13" s="284">
        <v>1524.54</v>
      </c>
      <c r="AU13" s="306">
        <v>1200</v>
      </c>
      <c r="AV13" s="383">
        <v>300</v>
      </c>
      <c r="AW13" s="378">
        <f aca="true" t="shared" si="30" ref="AW13:AW20">AU13+AV13</f>
        <v>1500</v>
      </c>
      <c r="AX13" s="306">
        <f aca="true" t="shared" si="31" ref="AX13:AX20">AS13+AW13</f>
        <v>1500</v>
      </c>
      <c r="AY13" s="435">
        <v>1500</v>
      </c>
      <c r="AZ13" s="287">
        <f aca="true" t="shared" si="32" ref="AZ13:AZ20">AX13-AY13</f>
        <v>0</v>
      </c>
      <c r="BA13" s="391"/>
      <c r="BB13" s="287"/>
      <c r="BC13" s="306">
        <v>1200</v>
      </c>
      <c r="BD13" s="383">
        <v>300</v>
      </c>
      <c r="BE13" s="24">
        <f aca="true" t="shared" si="33" ref="BE13:BE20">BC13+BD13</f>
        <v>1500</v>
      </c>
      <c r="BF13" s="24">
        <f aca="true" t="shared" si="34" ref="BF13:BF20">BB13+BE13</f>
        <v>1500</v>
      </c>
      <c r="BG13" s="454"/>
      <c r="BH13" s="338"/>
      <c r="BI13" s="338"/>
      <c r="BJ13" s="467">
        <f aca="true" t="shared" si="35" ref="BJ13:BJ20">BF13+BH13</f>
        <v>1500</v>
      </c>
      <c r="BK13" s="488">
        <v>1440</v>
      </c>
      <c r="BL13" s="483">
        <f aca="true" t="shared" si="36" ref="BL13:BL20">BK13-BJ13</f>
        <v>-60</v>
      </c>
      <c r="BM13" s="306">
        <v>381.85488027999963</v>
      </c>
      <c r="BN13" s="383">
        <f aca="true" t="shared" si="37" ref="BN13:BN20">AT13-AV13-BD13</f>
        <v>924.54</v>
      </c>
      <c r="BO13" s="24">
        <f aca="true" t="shared" si="38" ref="BO13:BO20">BM13+BN13</f>
        <v>1306.3948802799996</v>
      </c>
      <c r="BP13" s="501"/>
      <c r="BQ13" s="442">
        <f>BI13+BO13+73.61</f>
        <v>1380.0048802799995</v>
      </c>
      <c r="BR13" s="39">
        <v>1380</v>
      </c>
      <c r="BS13" s="483">
        <f t="shared" si="9"/>
        <v>0.004880279999497361</v>
      </c>
      <c r="BT13" s="306"/>
      <c r="BU13" s="493">
        <f t="shared" si="10"/>
        <v>4320</v>
      </c>
      <c r="BV13" s="523">
        <f aca="true" t="shared" si="39" ref="BV13:BV20">S13+AG13+AQ13+BU13</f>
        <v>14880</v>
      </c>
      <c r="BW13" s="136">
        <f t="shared" si="11"/>
        <v>14880</v>
      </c>
      <c r="BX13" s="82"/>
    </row>
    <row r="14" spans="1:76" s="27" customFormat="1" ht="21" customHeight="1">
      <c r="A14" s="4">
        <v>10</v>
      </c>
      <c r="B14" s="56" t="s">
        <v>21</v>
      </c>
      <c r="C14" s="136">
        <v>8160</v>
      </c>
      <c r="D14" s="24">
        <v>723.31</v>
      </c>
      <c r="E14" s="94">
        <v>720</v>
      </c>
      <c r="F14" s="32">
        <f t="shared" si="15"/>
        <v>3.3099999999999454</v>
      </c>
      <c r="G14" s="32"/>
      <c r="H14" s="24">
        <v>721.18</v>
      </c>
      <c r="I14" s="23"/>
      <c r="J14" s="168">
        <f t="shared" si="16"/>
        <v>721.18</v>
      </c>
      <c r="K14" s="45">
        <v>720</v>
      </c>
      <c r="L14" s="32">
        <f t="shared" si="17"/>
        <v>1.17999999999995</v>
      </c>
      <c r="M14" s="32"/>
      <c r="N14" s="33">
        <v>721.18</v>
      </c>
      <c r="O14" s="32"/>
      <c r="P14" s="250">
        <f t="shared" si="18"/>
        <v>721.18</v>
      </c>
      <c r="Q14" s="45">
        <v>720</v>
      </c>
      <c r="R14" s="32">
        <f t="shared" si="19"/>
        <v>1.17999999999995</v>
      </c>
      <c r="S14" s="74">
        <f t="shared" si="20"/>
        <v>2160</v>
      </c>
      <c r="T14" s="266">
        <v>728.46</v>
      </c>
      <c r="U14" s="280">
        <v>480</v>
      </c>
      <c r="V14" s="266">
        <f t="shared" si="21"/>
        <v>248.46000000000004</v>
      </c>
      <c r="W14" s="224">
        <v>0</v>
      </c>
      <c r="X14" s="266"/>
      <c r="Y14" s="284">
        <v>4720.54</v>
      </c>
      <c r="Z14" s="79">
        <v>660</v>
      </c>
      <c r="AA14" s="332">
        <f t="shared" si="22"/>
        <v>660</v>
      </c>
      <c r="AB14" s="335">
        <v>660</v>
      </c>
      <c r="AC14" s="334">
        <f t="shared" si="23"/>
        <v>0</v>
      </c>
      <c r="AD14" s="306">
        <v>660</v>
      </c>
      <c r="AE14" s="76">
        <v>660</v>
      </c>
      <c r="AF14" s="306">
        <f t="shared" si="24"/>
        <v>0</v>
      </c>
      <c r="AG14" s="74">
        <f t="shared" si="25"/>
        <v>1800</v>
      </c>
      <c r="AH14" s="79">
        <v>660</v>
      </c>
      <c r="AI14" s="76">
        <v>420</v>
      </c>
      <c r="AJ14" s="79">
        <f t="shared" si="26"/>
        <v>240</v>
      </c>
      <c r="AK14" s="79">
        <v>660</v>
      </c>
      <c r="AL14" s="361">
        <v>660</v>
      </c>
      <c r="AM14" s="359">
        <f t="shared" si="27"/>
        <v>0</v>
      </c>
      <c r="AN14" s="24">
        <v>660</v>
      </c>
      <c r="AO14" s="76">
        <v>660</v>
      </c>
      <c r="AP14" s="82">
        <f t="shared" si="28"/>
        <v>0</v>
      </c>
      <c r="AQ14" s="74">
        <f t="shared" si="29"/>
        <v>1740</v>
      </c>
      <c r="AR14" s="266"/>
      <c r="AS14" s="224"/>
      <c r="AT14" s="284">
        <v>866.87</v>
      </c>
      <c r="AU14" s="306">
        <v>660</v>
      </c>
      <c r="AV14" s="383">
        <v>240</v>
      </c>
      <c r="AW14" s="378">
        <f t="shared" si="30"/>
        <v>900</v>
      </c>
      <c r="AX14" s="306">
        <f t="shared" si="31"/>
        <v>900</v>
      </c>
      <c r="AY14" s="435">
        <v>900</v>
      </c>
      <c r="AZ14" s="79">
        <f t="shared" si="32"/>
        <v>0</v>
      </c>
      <c r="BA14" s="24"/>
      <c r="BB14" s="79"/>
      <c r="BC14" s="306">
        <v>660</v>
      </c>
      <c r="BD14" s="383">
        <v>240</v>
      </c>
      <c r="BE14" s="24">
        <f t="shared" si="33"/>
        <v>900</v>
      </c>
      <c r="BF14" s="24">
        <f t="shared" si="34"/>
        <v>900</v>
      </c>
      <c r="BG14" s="454"/>
      <c r="BH14" s="334"/>
      <c r="BI14" s="334"/>
      <c r="BJ14" s="467">
        <f t="shared" si="35"/>
        <v>900</v>
      </c>
      <c r="BK14" s="488">
        <v>720</v>
      </c>
      <c r="BL14" s="483">
        <f t="shared" si="36"/>
        <v>-180</v>
      </c>
      <c r="BM14" s="306">
        <v>100.53673324000101</v>
      </c>
      <c r="BN14" s="383">
        <f t="shared" si="37"/>
        <v>386.87</v>
      </c>
      <c r="BO14" s="24">
        <f t="shared" si="38"/>
        <v>487.406733240001</v>
      </c>
      <c r="BP14" s="501"/>
      <c r="BQ14" s="442">
        <f aca="true" t="shared" si="40" ref="BQ14:BQ19">BI14+BO14</f>
        <v>487.406733240001</v>
      </c>
      <c r="BR14" s="39">
        <v>420</v>
      </c>
      <c r="BS14" s="483">
        <f t="shared" si="9"/>
        <v>67.40673324000102</v>
      </c>
      <c r="BT14" s="306"/>
      <c r="BU14" s="493">
        <f t="shared" si="10"/>
        <v>2040</v>
      </c>
      <c r="BV14" s="353">
        <f t="shared" si="39"/>
        <v>7740</v>
      </c>
      <c r="BW14" s="136">
        <f t="shared" si="11"/>
        <v>7740</v>
      </c>
      <c r="BX14" s="82"/>
    </row>
    <row r="15" spans="1:76" s="27" customFormat="1" ht="22.5" customHeight="1">
      <c r="A15" s="4">
        <v>11</v>
      </c>
      <c r="B15" s="56" t="s">
        <v>16</v>
      </c>
      <c r="C15" s="136">
        <v>10140</v>
      </c>
      <c r="D15" s="24">
        <v>897.38</v>
      </c>
      <c r="E15" s="94">
        <v>840</v>
      </c>
      <c r="F15" s="32">
        <f t="shared" si="15"/>
        <v>57.379999999999995</v>
      </c>
      <c r="G15" s="32"/>
      <c r="H15" s="24">
        <v>894.73</v>
      </c>
      <c r="I15" s="23"/>
      <c r="J15" s="168">
        <f t="shared" si="16"/>
        <v>894.73</v>
      </c>
      <c r="K15" s="45">
        <v>840</v>
      </c>
      <c r="L15" s="32">
        <f t="shared" si="17"/>
        <v>54.73000000000002</v>
      </c>
      <c r="M15" s="32"/>
      <c r="N15" s="33">
        <v>894.73</v>
      </c>
      <c r="O15" s="32"/>
      <c r="P15" s="250">
        <f t="shared" si="18"/>
        <v>894.73</v>
      </c>
      <c r="Q15" s="45">
        <v>840</v>
      </c>
      <c r="R15" s="32">
        <f t="shared" si="19"/>
        <v>54.73000000000002</v>
      </c>
      <c r="S15" s="74">
        <f t="shared" si="20"/>
        <v>2520</v>
      </c>
      <c r="T15" s="266">
        <v>903.77</v>
      </c>
      <c r="U15" s="280">
        <v>900</v>
      </c>
      <c r="V15" s="266">
        <f t="shared" si="21"/>
        <v>3.769999999999982</v>
      </c>
      <c r="W15" s="224">
        <v>0</v>
      </c>
      <c r="X15" s="266"/>
      <c r="Y15" s="284">
        <v>5856.55</v>
      </c>
      <c r="Z15" s="79">
        <v>780</v>
      </c>
      <c r="AA15" s="332">
        <f t="shared" si="22"/>
        <v>780</v>
      </c>
      <c r="AB15" s="335">
        <v>780</v>
      </c>
      <c r="AC15" s="334">
        <f t="shared" si="23"/>
        <v>0</v>
      </c>
      <c r="AD15" s="306">
        <v>780</v>
      </c>
      <c r="AE15" s="76">
        <v>780</v>
      </c>
      <c r="AF15" s="306">
        <f t="shared" si="24"/>
        <v>0</v>
      </c>
      <c r="AG15" s="74">
        <f t="shared" si="25"/>
        <v>2460</v>
      </c>
      <c r="AH15" s="79">
        <v>780</v>
      </c>
      <c r="AI15" s="76">
        <v>780</v>
      </c>
      <c r="AJ15" s="79">
        <f t="shared" si="26"/>
        <v>0</v>
      </c>
      <c r="AK15" s="79">
        <v>780</v>
      </c>
      <c r="AL15" s="361">
        <v>720</v>
      </c>
      <c r="AM15" s="359">
        <f t="shared" si="27"/>
        <v>60</v>
      </c>
      <c r="AN15" s="24">
        <v>780</v>
      </c>
      <c r="AO15" s="76">
        <v>780</v>
      </c>
      <c r="AP15" s="82">
        <f t="shared" si="28"/>
        <v>0</v>
      </c>
      <c r="AQ15" s="74">
        <f t="shared" si="29"/>
        <v>2280</v>
      </c>
      <c r="AR15" s="266"/>
      <c r="AS15" s="224"/>
      <c r="AT15" s="284">
        <v>1075.49</v>
      </c>
      <c r="AU15" s="306">
        <v>780</v>
      </c>
      <c r="AV15" s="383">
        <v>420</v>
      </c>
      <c r="AW15" s="378">
        <f t="shared" si="30"/>
        <v>1200</v>
      </c>
      <c r="AX15" s="306">
        <f t="shared" si="31"/>
        <v>1200</v>
      </c>
      <c r="AY15" s="435">
        <v>1200</v>
      </c>
      <c r="AZ15" s="79">
        <f t="shared" si="32"/>
        <v>0</v>
      </c>
      <c r="BA15" s="24"/>
      <c r="BB15" s="79"/>
      <c r="BC15" s="306">
        <v>780</v>
      </c>
      <c r="BD15" s="383">
        <v>420</v>
      </c>
      <c r="BE15" s="24">
        <f t="shared" si="33"/>
        <v>1200</v>
      </c>
      <c r="BF15" s="24">
        <f t="shared" si="34"/>
        <v>1200</v>
      </c>
      <c r="BG15" s="454"/>
      <c r="BH15" s="334"/>
      <c r="BI15" s="334"/>
      <c r="BJ15" s="467">
        <f t="shared" si="35"/>
        <v>1200</v>
      </c>
      <c r="BK15" s="488">
        <v>1200</v>
      </c>
      <c r="BL15" s="483">
        <f t="shared" si="36"/>
        <v>0</v>
      </c>
      <c r="BM15" s="306">
        <v>396.54625300000043</v>
      </c>
      <c r="BN15" s="383">
        <f t="shared" si="37"/>
        <v>235.49</v>
      </c>
      <c r="BO15" s="24">
        <f t="shared" si="38"/>
        <v>632.0362530000004</v>
      </c>
      <c r="BP15" s="501"/>
      <c r="BQ15" s="442">
        <f t="shared" si="40"/>
        <v>632.0362530000004</v>
      </c>
      <c r="BR15" s="39">
        <v>600</v>
      </c>
      <c r="BS15" s="483">
        <f t="shared" si="9"/>
        <v>32.03625300000044</v>
      </c>
      <c r="BT15" s="306"/>
      <c r="BU15" s="493">
        <f t="shared" si="10"/>
        <v>3000</v>
      </c>
      <c r="BV15" s="353">
        <f t="shared" si="39"/>
        <v>10260</v>
      </c>
      <c r="BW15" s="136">
        <f t="shared" si="11"/>
        <v>10260</v>
      </c>
      <c r="BX15" s="82"/>
    </row>
    <row r="16" spans="1:76" s="27" customFormat="1" ht="22.5" customHeight="1">
      <c r="A16" s="4">
        <v>12</v>
      </c>
      <c r="B16" s="56" t="s">
        <v>19</v>
      </c>
      <c r="C16" s="136">
        <v>8220</v>
      </c>
      <c r="D16" s="24">
        <v>730.2</v>
      </c>
      <c r="E16" s="94">
        <v>660</v>
      </c>
      <c r="F16" s="32">
        <f t="shared" si="15"/>
        <v>70.20000000000005</v>
      </c>
      <c r="G16" s="32"/>
      <c r="H16" s="24">
        <v>728.04</v>
      </c>
      <c r="I16" s="23"/>
      <c r="J16" s="168">
        <f t="shared" si="16"/>
        <v>728.04</v>
      </c>
      <c r="K16" s="45">
        <v>720</v>
      </c>
      <c r="L16" s="32">
        <f t="shared" si="17"/>
        <v>8.039999999999964</v>
      </c>
      <c r="M16" s="32"/>
      <c r="N16" s="33">
        <v>728.04</v>
      </c>
      <c r="O16" s="32"/>
      <c r="P16" s="250">
        <f t="shared" si="18"/>
        <v>728.04</v>
      </c>
      <c r="Q16" s="45">
        <v>660</v>
      </c>
      <c r="R16" s="32">
        <f t="shared" si="19"/>
        <v>68.03999999999996</v>
      </c>
      <c r="S16" s="74">
        <f t="shared" si="20"/>
        <v>2040</v>
      </c>
      <c r="T16" s="266">
        <v>735.39</v>
      </c>
      <c r="U16" s="280">
        <v>180</v>
      </c>
      <c r="V16" s="266">
        <f t="shared" si="21"/>
        <v>555.39</v>
      </c>
      <c r="W16" s="224">
        <v>0</v>
      </c>
      <c r="X16" s="266"/>
      <c r="Y16" s="284">
        <v>4765.46</v>
      </c>
      <c r="Z16" s="79">
        <v>660</v>
      </c>
      <c r="AA16" s="332">
        <f t="shared" si="22"/>
        <v>660</v>
      </c>
      <c r="AB16" s="335">
        <v>660</v>
      </c>
      <c r="AC16" s="334">
        <f t="shared" si="23"/>
        <v>0</v>
      </c>
      <c r="AD16" s="306">
        <v>660</v>
      </c>
      <c r="AE16" s="76">
        <v>660</v>
      </c>
      <c r="AF16" s="306">
        <f t="shared" si="24"/>
        <v>0</v>
      </c>
      <c r="AG16" s="74">
        <f t="shared" si="25"/>
        <v>1500</v>
      </c>
      <c r="AH16" s="79">
        <v>660</v>
      </c>
      <c r="AI16" s="76">
        <v>660</v>
      </c>
      <c r="AJ16" s="79">
        <f t="shared" si="26"/>
        <v>0</v>
      </c>
      <c r="AK16" s="79">
        <v>660</v>
      </c>
      <c r="AL16" s="361">
        <v>660</v>
      </c>
      <c r="AM16" s="359">
        <f t="shared" si="27"/>
        <v>0</v>
      </c>
      <c r="AN16" s="24">
        <v>660</v>
      </c>
      <c r="AO16" s="76">
        <v>600</v>
      </c>
      <c r="AP16" s="82">
        <f t="shared" si="28"/>
        <v>60</v>
      </c>
      <c r="AQ16" s="74">
        <f t="shared" si="29"/>
        <v>1920</v>
      </c>
      <c r="AR16" s="266"/>
      <c r="AS16" s="224"/>
      <c r="AT16" s="284">
        <v>875.12</v>
      </c>
      <c r="AU16" s="306">
        <v>660</v>
      </c>
      <c r="AV16" s="383">
        <v>240</v>
      </c>
      <c r="AW16" s="378">
        <f t="shared" si="30"/>
        <v>900</v>
      </c>
      <c r="AX16" s="306">
        <f t="shared" si="31"/>
        <v>900</v>
      </c>
      <c r="AY16" s="435">
        <v>900</v>
      </c>
      <c r="AZ16" s="79">
        <f t="shared" si="32"/>
        <v>0</v>
      </c>
      <c r="BA16" s="24"/>
      <c r="BB16" s="79"/>
      <c r="BC16" s="306">
        <v>660</v>
      </c>
      <c r="BD16" s="383">
        <v>240</v>
      </c>
      <c r="BE16" s="24">
        <f t="shared" si="33"/>
        <v>900</v>
      </c>
      <c r="BF16" s="24">
        <f t="shared" si="34"/>
        <v>900</v>
      </c>
      <c r="BG16" s="454"/>
      <c r="BH16" s="334"/>
      <c r="BI16" s="334"/>
      <c r="BJ16" s="467">
        <f t="shared" si="35"/>
        <v>900</v>
      </c>
      <c r="BK16" s="488">
        <v>780</v>
      </c>
      <c r="BL16" s="483">
        <f t="shared" si="36"/>
        <v>-120</v>
      </c>
      <c r="BM16" s="306">
        <v>145.46366339999986</v>
      </c>
      <c r="BN16" s="383">
        <f t="shared" si="37"/>
        <v>395.12</v>
      </c>
      <c r="BO16" s="24">
        <f t="shared" si="38"/>
        <v>540.5836633999999</v>
      </c>
      <c r="BP16" s="501"/>
      <c r="BQ16" s="442">
        <f t="shared" si="40"/>
        <v>540.5836633999999</v>
      </c>
      <c r="BR16" s="39">
        <v>540</v>
      </c>
      <c r="BS16" s="483">
        <f t="shared" si="9"/>
        <v>0.5836633999998639</v>
      </c>
      <c r="BT16" s="306"/>
      <c r="BU16" s="493">
        <f t="shared" si="10"/>
        <v>2220</v>
      </c>
      <c r="BV16" s="353">
        <f t="shared" si="39"/>
        <v>7680</v>
      </c>
      <c r="BW16" s="136">
        <f t="shared" si="11"/>
        <v>7680</v>
      </c>
      <c r="BX16" s="82"/>
    </row>
    <row r="17" spans="1:76" s="5" customFormat="1" ht="23.25" customHeight="1">
      <c r="A17" s="4">
        <v>13</v>
      </c>
      <c r="B17" s="56" t="s">
        <v>22</v>
      </c>
      <c r="C17" s="136">
        <v>32145</v>
      </c>
      <c r="D17" s="24">
        <v>2655.27</v>
      </c>
      <c r="E17" s="94">
        <v>2655</v>
      </c>
      <c r="F17" s="32">
        <f t="shared" si="15"/>
        <v>0.2699999999999818</v>
      </c>
      <c r="G17" s="32"/>
      <c r="H17" s="24">
        <v>2647.42</v>
      </c>
      <c r="I17" s="24"/>
      <c r="J17" s="168">
        <f t="shared" si="16"/>
        <v>2647.42</v>
      </c>
      <c r="K17" s="72">
        <v>2640</v>
      </c>
      <c r="L17" s="32">
        <f t="shared" si="17"/>
        <v>7.420000000000073</v>
      </c>
      <c r="M17" s="32"/>
      <c r="N17" s="33">
        <v>2647.42</v>
      </c>
      <c r="O17" s="32"/>
      <c r="P17" s="250">
        <f t="shared" si="18"/>
        <v>2647.42</v>
      </c>
      <c r="Q17" s="45">
        <v>2640</v>
      </c>
      <c r="R17" s="32">
        <f t="shared" si="19"/>
        <v>7.420000000000073</v>
      </c>
      <c r="S17" s="74">
        <f t="shared" si="20"/>
        <v>7935</v>
      </c>
      <c r="T17" s="266">
        <v>2674.16</v>
      </c>
      <c r="U17" s="280">
        <v>2670</v>
      </c>
      <c r="V17" s="266">
        <f t="shared" si="21"/>
        <v>4.1599999999998545</v>
      </c>
      <c r="W17" s="224">
        <v>0</v>
      </c>
      <c r="X17" s="266"/>
      <c r="Y17" s="284">
        <v>17328.96</v>
      </c>
      <c r="Z17" s="79">
        <v>2400</v>
      </c>
      <c r="AA17" s="332">
        <f t="shared" si="22"/>
        <v>2400</v>
      </c>
      <c r="AB17" s="335">
        <v>2400</v>
      </c>
      <c r="AC17" s="334">
        <f t="shared" si="23"/>
        <v>0</v>
      </c>
      <c r="AD17" s="306">
        <v>2400</v>
      </c>
      <c r="AE17" s="76">
        <v>2400</v>
      </c>
      <c r="AF17" s="306">
        <f t="shared" si="24"/>
        <v>0</v>
      </c>
      <c r="AG17" s="74">
        <f t="shared" si="25"/>
        <v>7470</v>
      </c>
      <c r="AH17" s="79">
        <v>2400</v>
      </c>
      <c r="AI17" s="76">
        <v>2400</v>
      </c>
      <c r="AJ17" s="79">
        <f t="shared" si="26"/>
        <v>0</v>
      </c>
      <c r="AK17" s="79">
        <v>2400</v>
      </c>
      <c r="AL17" s="361">
        <v>2400</v>
      </c>
      <c r="AM17" s="359">
        <f t="shared" si="27"/>
        <v>0</v>
      </c>
      <c r="AN17" s="24">
        <v>2400</v>
      </c>
      <c r="AO17" s="76">
        <v>2400</v>
      </c>
      <c r="AP17" s="82">
        <f t="shared" si="28"/>
        <v>0</v>
      </c>
      <c r="AQ17" s="74">
        <f t="shared" si="29"/>
        <v>7200</v>
      </c>
      <c r="AR17" s="266"/>
      <c r="AS17" s="224"/>
      <c r="AT17" s="284">
        <v>3182.26</v>
      </c>
      <c r="AU17" s="306">
        <v>2400</v>
      </c>
      <c r="AV17" s="383">
        <v>525</v>
      </c>
      <c r="AW17" s="378">
        <f t="shared" si="30"/>
        <v>2925</v>
      </c>
      <c r="AX17" s="306">
        <f t="shared" si="31"/>
        <v>2925</v>
      </c>
      <c r="AY17" s="435">
        <v>2850</v>
      </c>
      <c r="AZ17" s="79">
        <f t="shared" si="32"/>
        <v>75</v>
      </c>
      <c r="BA17" s="24"/>
      <c r="BB17" s="79"/>
      <c r="BC17" s="306">
        <v>2400</v>
      </c>
      <c r="BD17" s="383">
        <v>525</v>
      </c>
      <c r="BE17" s="24">
        <f t="shared" si="33"/>
        <v>2925</v>
      </c>
      <c r="BF17" s="24">
        <f t="shared" si="34"/>
        <v>2925</v>
      </c>
      <c r="BG17" s="454"/>
      <c r="BH17" s="334"/>
      <c r="BI17" s="334"/>
      <c r="BJ17" s="467">
        <f t="shared" si="35"/>
        <v>2925</v>
      </c>
      <c r="BK17" s="488">
        <v>2925</v>
      </c>
      <c r="BL17" s="483">
        <f t="shared" si="36"/>
        <v>0</v>
      </c>
      <c r="BM17" s="306">
        <v>528.9587760000031</v>
      </c>
      <c r="BN17" s="383">
        <f t="shared" si="37"/>
        <v>2132.26</v>
      </c>
      <c r="BO17" s="24">
        <f t="shared" si="38"/>
        <v>2661.2187760000033</v>
      </c>
      <c r="BP17" s="501"/>
      <c r="BQ17" s="442">
        <f t="shared" si="40"/>
        <v>2661.2187760000033</v>
      </c>
      <c r="BR17" s="39">
        <v>2655</v>
      </c>
      <c r="BS17" s="483">
        <f t="shared" si="9"/>
        <v>6.218776000003345</v>
      </c>
      <c r="BT17" s="306"/>
      <c r="BU17" s="493">
        <f t="shared" si="10"/>
        <v>8430</v>
      </c>
      <c r="BV17" s="353">
        <f t="shared" si="39"/>
        <v>31035</v>
      </c>
      <c r="BW17" s="136">
        <f t="shared" si="11"/>
        <v>31035</v>
      </c>
      <c r="BX17" s="82"/>
    </row>
    <row r="18" spans="1:76" s="27" customFormat="1" ht="22.5" customHeight="1">
      <c r="A18" s="4">
        <v>14</v>
      </c>
      <c r="B18" s="56" t="s">
        <v>13</v>
      </c>
      <c r="C18" s="136">
        <v>25740</v>
      </c>
      <c r="D18" s="24">
        <v>2311.07</v>
      </c>
      <c r="E18" s="94">
        <v>2280</v>
      </c>
      <c r="F18" s="32">
        <f t="shared" si="15"/>
        <v>31.070000000000164</v>
      </c>
      <c r="G18" s="32"/>
      <c r="H18" s="24">
        <v>2304.23</v>
      </c>
      <c r="I18" s="23"/>
      <c r="J18" s="168">
        <f t="shared" si="16"/>
        <v>2304.23</v>
      </c>
      <c r="K18" s="45">
        <v>0</v>
      </c>
      <c r="L18" s="32">
        <f t="shared" si="17"/>
        <v>2304.23</v>
      </c>
      <c r="M18" s="32"/>
      <c r="N18" s="33">
        <v>2304.23</v>
      </c>
      <c r="O18" s="32"/>
      <c r="P18" s="250">
        <f t="shared" si="18"/>
        <v>2304.23</v>
      </c>
      <c r="Q18" s="45">
        <v>2280</v>
      </c>
      <c r="R18" s="32">
        <f t="shared" si="19"/>
        <v>24.230000000000018</v>
      </c>
      <c r="S18" s="74">
        <f t="shared" si="20"/>
        <v>4560</v>
      </c>
      <c r="T18" s="266">
        <v>2327.51</v>
      </c>
      <c r="U18" s="280">
        <v>1940</v>
      </c>
      <c r="V18" s="266">
        <f t="shared" si="21"/>
        <v>387.5100000000002</v>
      </c>
      <c r="W18" s="224">
        <v>0</v>
      </c>
      <c r="X18" s="266"/>
      <c r="Y18" s="284">
        <v>15082.61</v>
      </c>
      <c r="Z18" s="79">
        <v>2220</v>
      </c>
      <c r="AA18" s="332">
        <f t="shared" si="22"/>
        <v>2220</v>
      </c>
      <c r="AB18" s="335">
        <v>2160</v>
      </c>
      <c r="AC18" s="334">
        <f t="shared" si="23"/>
        <v>60</v>
      </c>
      <c r="AD18" s="306">
        <v>2220</v>
      </c>
      <c r="AE18" s="76">
        <v>2180</v>
      </c>
      <c r="AF18" s="306">
        <f t="shared" si="24"/>
        <v>40</v>
      </c>
      <c r="AG18" s="74">
        <f t="shared" si="25"/>
        <v>6280</v>
      </c>
      <c r="AH18" s="79">
        <v>2220</v>
      </c>
      <c r="AI18" s="76">
        <v>2220</v>
      </c>
      <c r="AJ18" s="79">
        <f t="shared" si="26"/>
        <v>0</v>
      </c>
      <c r="AK18" s="79">
        <v>2220</v>
      </c>
      <c r="AL18" s="361">
        <v>2180</v>
      </c>
      <c r="AM18" s="359">
        <f t="shared" si="27"/>
        <v>40</v>
      </c>
      <c r="AN18" s="24">
        <v>2220</v>
      </c>
      <c r="AO18" s="76">
        <v>1340</v>
      </c>
      <c r="AP18" s="82">
        <f t="shared" si="28"/>
        <v>880</v>
      </c>
      <c r="AQ18" s="74">
        <f t="shared" si="29"/>
        <v>5740</v>
      </c>
      <c r="AR18" s="266"/>
      <c r="AS18" s="224"/>
      <c r="AT18" s="284">
        <v>2769.74</v>
      </c>
      <c r="AU18" s="306">
        <v>2220</v>
      </c>
      <c r="AV18" s="383">
        <v>380</v>
      </c>
      <c r="AW18" s="378">
        <f t="shared" si="30"/>
        <v>2600</v>
      </c>
      <c r="AX18" s="306">
        <f t="shared" si="31"/>
        <v>2600</v>
      </c>
      <c r="AY18" s="435">
        <v>2560</v>
      </c>
      <c r="AZ18" s="79">
        <f t="shared" si="32"/>
        <v>40</v>
      </c>
      <c r="BA18" s="24"/>
      <c r="BB18" s="79"/>
      <c r="BC18" s="306">
        <v>1762.6122680000008</v>
      </c>
      <c r="BD18" s="383">
        <v>838</v>
      </c>
      <c r="BE18" s="24">
        <f t="shared" si="33"/>
        <v>2600.6122680000008</v>
      </c>
      <c r="BF18" s="24">
        <f t="shared" si="34"/>
        <v>2600.6122680000008</v>
      </c>
      <c r="BG18" s="454"/>
      <c r="BH18" s="334"/>
      <c r="BI18" s="334"/>
      <c r="BJ18" s="467">
        <f t="shared" si="35"/>
        <v>2600.6122680000008</v>
      </c>
      <c r="BK18" s="488">
        <v>1920</v>
      </c>
      <c r="BL18" s="483">
        <f t="shared" si="36"/>
        <v>-680.6122680000008</v>
      </c>
      <c r="BM18" s="306">
        <v>0</v>
      </c>
      <c r="BN18" s="383">
        <f t="shared" si="37"/>
        <v>1551.7399999999998</v>
      </c>
      <c r="BO18" s="24">
        <f t="shared" si="38"/>
        <v>1551.7399999999998</v>
      </c>
      <c r="BP18" s="501"/>
      <c r="BQ18" s="442">
        <f t="shared" si="40"/>
        <v>1551.7399999999998</v>
      </c>
      <c r="BR18" s="39">
        <v>1540</v>
      </c>
      <c r="BS18" s="483">
        <f t="shared" si="9"/>
        <v>11.739999999999782</v>
      </c>
      <c r="BT18" s="306"/>
      <c r="BU18" s="493">
        <f t="shared" si="10"/>
        <v>6020</v>
      </c>
      <c r="BV18" s="353">
        <f t="shared" si="39"/>
        <v>22600</v>
      </c>
      <c r="BW18" s="136">
        <f t="shared" si="11"/>
        <v>22600</v>
      </c>
      <c r="BX18" s="82"/>
    </row>
    <row r="19" spans="1:76" s="5" customFormat="1" ht="22.5" customHeight="1">
      <c r="A19" s="4">
        <v>15</v>
      </c>
      <c r="B19" s="56" t="s">
        <v>23</v>
      </c>
      <c r="C19" s="136">
        <v>6000</v>
      </c>
      <c r="D19" s="24">
        <v>1425.98</v>
      </c>
      <c r="E19" s="94">
        <v>420</v>
      </c>
      <c r="F19" s="32">
        <f t="shared" si="15"/>
        <v>1005.98</v>
      </c>
      <c r="G19" s="32"/>
      <c r="H19" s="24">
        <v>1421.76</v>
      </c>
      <c r="I19" s="23"/>
      <c r="J19" s="168">
        <f t="shared" si="16"/>
        <v>1421.76</v>
      </c>
      <c r="K19" s="45">
        <v>720</v>
      </c>
      <c r="L19" s="32">
        <f t="shared" si="17"/>
        <v>701.76</v>
      </c>
      <c r="M19" s="32"/>
      <c r="N19" s="33">
        <v>1421.76</v>
      </c>
      <c r="O19" s="32"/>
      <c r="P19" s="250">
        <f t="shared" si="18"/>
        <v>1421.76</v>
      </c>
      <c r="Q19" s="45">
        <v>630</v>
      </c>
      <c r="R19" s="32">
        <f t="shared" si="19"/>
        <v>791.76</v>
      </c>
      <c r="S19" s="74">
        <f t="shared" si="20"/>
        <v>1770</v>
      </c>
      <c r="T19" s="266">
        <v>1436.12</v>
      </c>
      <c r="U19" s="280">
        <v>450</v>
      </c>
      <c r="V19" s="266">
        <f t="shared" si="21"/>
        <v>986.1199999999999</v>
      </c>
      <c r="W19" s="224">
        <v>0</v>
      </c>
      <c r="X19" s="266"/>
      <c r="Y19" s="284">
        <v>9306.29</v>
      </c>
      <c r="Z19" s="79">
        <v>820</v>
      </c>
      <c r="AA19" s="332">
        <f t="shared" si="22"/>
        <v>820</v>
      </c>
      <c r="AB19" s="335">
        <v>540</v>
      </c>
      <c r="AC19" s="334">
        <f t="shared" si="23"/>
        <v>280</v>
      </c>
      <c r="AD19" s="306">
        <v>820</v>
      </c>
      <c r="AE19" s="76">
        <v>480</v>
      </c>
      <c r="AF19" s="306">
        <f t="shared" si="24"/>
        <v>340</v>
      </c>
      <c r="AG19" s="74">
        <f t="shared" si="25"/>
        <v>1470</v>
      </c>
      <c r="AH19" s="79">
        <v>1300</v>
      </c>
      <c r="AI19" s="76">
        <v>480</v>
      </c>
      <c r="AJ19" s="79">
        <f t="shared" si="26"/>
        <v>820</v>
      </c>
      <c r="AK19" s="79">
        <v>1300</v>
      </c>
      <c r="AL19" s="361">
        <v>630</v>
      </c>
      <c r="AM19" s="359">
        <f t="shared" si="27"/>
        <v>670</v>
      </c>
      <c r="AN19" s="24">
        <v>1300</v>
      </c>
      <c r="AO19" s="76">
        <v>510</v>
      </c>
      <c r="AP19" s="82">
        <f t="shared" si="28"/>
        <v>790</v>
      </c>
      <c r="AQ19" s="74">
        <f t="shared" si="29"/>
        <v>1620</v>
      </c>
      <c r="AR19" s="266"/>
      <c r="AS19" s="224"/>
      <c r="AT19" s="284">
        <v>1708.99</v>
      </c>
      <c r="AU19" s="306">
        <v>1500</v>
      </c>
      <c r="AV19" s="383">
        <v>700</v>
      </c>
      <c r="AW19" s="378">
        <f t="shared" si="30"/>
        <v>2200</v>
      </c>
      <c r="AX19" s="306">
        <f t="shared" si="31"/>
        <v>2200</v>
      </c>
      <c r="AY19" s="435">
        <v>420</v>
      </c>
      <c r="AZ19" s="79">
        <f t="shared" si="32"/>
        <v>1780</v>
      </c>
      <c r="BA19" s="24"/>
      <c r="BB19" s="79"/>
      <c r="BC19" s="306">
        <v>1500</v>
      </c>
      <c r="BD19" s="383">
        <v>700</v>
      </c>
      <c r="BE19" s="24">
        <f t="shared" si="33"/>
        <v>2200</v>
      </c>
      <c r="BF19" s="24">
        <f t="shared" si="34"/>
        <v>2200</v>
      </c>
      <c r="BG19" s="454"/>
      <c r="BH19" s="334"/>
      <c r="BI19" s="334"/>
      <c r="BJ19" s="467">
        <f t="shared" si="35"/>
        <v>2200</v>
      </c>
      <c r="BK19" s="488">
        <v>390</v>
      </c>
      <c r="BL19" s="483">
        <f t="shared" si="36"/>
        <v>-1810</v>
      </c>
      <c r="BM19" s="306">
        <v>766.2926760000009</v>
      </c>
      <c r="BN19" s="383">
        <f t="shared" si="37"/>
        <v>308.99</v>
      </c>
      <c r="BO19" s="24">
        <f t="shared" si="38"/>
        <v>1075.282676000001</v>
      </c>
      <c r="BP19" s="501"/>
      <c r="BQ19" s="442">
        <f t="shared" si="40"/>
        <v>1075.282676000001</v>
      </c>
      <c r="BR19" s="39">
        <v>330</v>
      </c>
      <c r="BS19" s="483">
        <f t="shared" si="9"/>
        <v>745.282676000001</v>
      </c>
      <c r="BT19" s="306"/>
      <c r="BU19" s="493">
        <f t="shared" si="10"/>
        <v>1140</v>
      </c>
      <c r="BV19" s="353">
        <f t="shared" si="39"/>
        <v>6000</v>
      </c>
      <c r="BW19" s="136">
        <f t="shared" si="11"/>
        <v>6000</v>
      </c>
      <c r="BX19" s="82"/>
    </row>
    <row r="20" spans="1:76" s="5" customFormat="1" ht="22.5" customHeight="1" thickBot="1">
      <c r="A20" s="4">
        <v>16</v>
      </c>
      <c r="B20" s="56" t="s">
        <v>24</v>
      </c>
      <c r="C20" s="136">
        <v>77425</v>
      </c>
      <c r="D20" s="30">
        <v>4731.79</v>
      </c>
      <c r="E20" s="95">
        <v>4725</v>
      </c>
      <c r="F20" s="32">
        <f t="shared" si="15"/>
        <v>6.789999999999964</v>
      </c>
      <c r="G20" s="61"/>
      <c r="H20" s="30">
        <v>4717.78</v>
      </c>
      <c r="I20" s="54"/>
      <c r="J20" s="221">
        <f t="shared" si="16"/>
        <v>4717.78</v>
      </c>
      <c r="K20" s="46">
        <v>4710</v>
      </c>
      <c r="L20" s="32">
        <f t="shared" si="17"/>
        <v>7.779999999999745</v>
      </c>
      <c r="M20" s="61"/>
      <c r="N20" s="34">
        <v>4717.78</v>
      </c>
      <c r="O20" s="61"/>
      <c r="P20" s="250">
        <f t="shared" si="18"/>
        <v>4717.78</v>
      </c>
      <c r="Q20" s="46">
        <v>4695</v>
      </c>
      <c r="R20" s="32">
        <f t="shared" si="19"/>
        <v>22.779999999999745</v>
      </c>
      <c r="S20" s="74">
        <f t="shared" si="20"/>
        <v>14130</v>
      </c>
      <c r="T20" s="266">
        <v>4765.45</v>
      </c>
      <c r="U20" s="281">
        <v>4760</v>
      </c>
      <c r="V20" s="266">
        <f t="shared" si="21"/>
        <v>5.449999999999818</v>
      </c>
      <c r="W20" s="224">
        <v>0</v>
      </c>
      <c r="X20" s="322"/>
      <c r="Y20" s="285">
        <v>68994.94</v>
      </c>
      <c r="Z20" s="307">
        <v>9000</v>
      </c>
      <c r="AA20" s="332">
        <f t="shared" si="22"/>
        <v>9000</v>
      </c>
      <c r="AB20" s="335">
        <v>9000</v>
      </c>
      <c r="AC20" s="334">
        <f t="shared" si="23"/>
        <v>0</v>
      </c>
      <c r="AD20" s="306">
        <v>9000</v>
      </c>
      <c r="AE20" s="76">
        <v>8995</v>
      </c>
      <c r="AF20" s="306">
        <f t="shared" si="24"/>
        <v>5</v>
      </c>
      <c r="AG20" s="74">
        <f t="shared" si="25"/>
        <v>22755</v>
      </c>
      <c r="AH20" s="307">
        <v>9000</v>
      </c>
      <c r="AI20" s="354">
        <v>9000</v>
      </c>
      <c r="AJ20" s="79">
        <f t="shared" si="26"/>
        <v>0</v>
      </c>
      <c r="AK20" s="308">
        <v>9000</v>
      </c>
      <c r="AL20" s="362">
        <v>8980</v>
      </c>
      <c r="AM20" s="359">
        <f t="shared" si="27"/>
        <v>20</v>
      </c>
      <c r="AN20" s="24">
        <v>9000</v>
      </c>
      <c r="AO20" s="393">
        <v>8990</v>
      </c>
      <c r="AP20" s="82">
        <f t="shared" si="28"/>
        <v>10</v>
      </c>
      <c r="AQ20" s="74">
        <f t="shared" si="29"/>
        <v>26970</v>
      </c>
      <c r="AR20" s="322"/>
      <c r="AS20" s="411"/>
      <c r="AT20" s="379">
        <v>12670.1</v>
      </c>
      <c r="AU20" s="381">
        <v>9000</v>
      </c>
      <c r="AV20" s="385">
        <v>5000</v>
      </c>
      <c r="AW20" s="378">
        <f t="shared" si="30"/>
        <v>14000</v>
      </c>
      <c r="AX20" s="306">
        <f t="shared" si="31"/>
        <v>14000</v>
      </c>
      <c r="AY20" s="435">
        <v>12515</v>
      </c>
      <c r="AZ20" s="79">
        <f t="shared" si="32"/>
        <v>1485</v>
      </c>
      <c r="BA20" s="30"/>
      <c r="BB20" s="307"/>
      <c r="BC20" s="376">
        <v>9000</v>
      </c>
      <c r="BD20" s="385">
        <v>5000</v>
      </c>
      <c r="BE20" s="24">
        <f t="shared" si="33"/>
        <v>14000</v>
      </c>
      <c r="BF20" s="24">
        <f t="shared" si="34"/>
        <v>14000</v>
      </c>
      <c r="BG20" s="454"/>
      <c r="BH20" s="334"/>
      <c r="BI20" s="334"/>
      <c r="BJ20" s="467">
        <f t="shared" si="35"/>
        <v>14000</v>
      </c>
      <c r="BK20" s="488">
        <v>13395</v>
      </c>
      <c r="BL20" s="483">
        <f t="shared" si="36"/>
        <v>-605</v>
      </c>
      <c r="BM20" s="306">
        <v>5994.92846000001</v>
      </c>
      <c r="BN20" s="383">
        <f t="shared" si="37"/>
        <v>2670.1000000000004</v>
      </c>
      <c r="BO20" s="24">
        <f t="shared" si="38"/>
        <v>8665.02846000001</v>
      </c>
      <c r="BP20" s="501"/>
      <c r="BQ20" s="442">
        <f>BI20+BO20+534.97</f>
        <v>9199.99846000001</v>
      </c>
      <c r="BR20" s="514">
        <v>9200</v>
      </c>
      <c r="BS20" s="520">
        <f t="shared" si="9"/>
        <v>-0.0015399999902001582</v>
      </c>
      <c r="BT20" s="376"/>
      <c r="BU20" s="493">
        <f t="shared" si="10"/>
        <v>35110</v>
      </c>
      <c r="BV20" s="353">
        <f t="shared" si="39"/>
        <v>98965</v>
      </c>
      <c r="BW20" s="136">
        <f t="shared" si="11"/>
        <v>98965</v>
      </c>
      <c r="BX20" s="82"/>
    </row>
    <row r="21" spans="1:76" s="10" customFormat="1" ht="23.25" customHeight="1">
      <c r="A21" s="62"/>
      <c r="B21" s="119" t="s">
        <v>11</v>
      </c>
      <c r="C21" s="48">
        <v>185230</v>
      </c>
      <c r="D21" s="48">
        <f aca="true" t="shared" si="41" ref="D21:AI21">SUM(D13:D20)</f>
        <v>14747.07</v>
      </c>
      <c r="E21" s="48">
        <f t="shared" si="41"/>
        <v>13560</v>
      </c>
      <c r="F21" s="48">
        <f t="shared" si="41"/>
        <v>1187.0700000000002</v>
      </c>
      <c r="G21" s="48">
        <f t="shared" si="41"/>
        <v>0</v>
      </c>
      <c r="H21" s="48">
        <f t="shared" si="41"/>
        <v>14703.45</v>
      </c>
      <c r="I21" s="48">
        <f t="shared" si="41"/>
        <v>0</v>
      </c>
      <c r="J21" s="48">
        <f t="shared" si="41"/>
        <v>14703.45</v>
      </c>
      <c r="K21" s="48">
        <f t="shared" si="41"/>
        <v>11610</v>
      </c>
      <c r="L21" s="48">
        <f t="shared" si="41"/>
        <v>3093.45</v>
      </c>
      <c r="M21" s="48">
        <f t="shared" si="41"/>
        <v>0</v>
      </c>
      <c r="N21" s="48">
        <f t="shared" si="41"/>
        <v>14703.45</v>
      </c>
      <c r="O21" s="48">
        <f t="shared" si="41"/>
        <v>0</v>
      </c>
      <c r="P21" s="48">
        <f t="shared" si="41"/>
        <v>14703.45</v>
      </c>
      <c r="Q21" s="48">
        <f t="shared" si="41"/>
        <v>13725</v>
      </c>
      <c r="R21" s="48">
        <f t="shared" si="41"/>
        <v>978.4499999999997</v>
      </c>
      <c r="S21" s="48">
        <f t="shared" si="41"/>
        <v>38895</v>
      </c>
      <c r="T21" s="131">
        <f t="shared" si="41"/>
        <v>14851.98</v>
      </c>
      <c r="U21" s="131">
        <f t="shared" si="41"/>
        <v>12640</v>
      </c>
      <c r="V21" s="131">
        <f t="shared" si="41"/>
        <v>2211.9799999999996</v>
      </c>
      <c r="W21" s="290">
        <f t="shared" si="41"/>
        <v>0</v>
      </c>
      <c r="X21" s="290">
        <f t="shared" si="41"/>
        <v>0</v>
      </c>
      <c r="Y21" s="290">
        <f t="shared" si="41"/>
        <v>134357.2</v>
      </c>
      <c r="Z21" s="290">
        <f t="shared" si="41"/>
        <v>17500</v>
      </c>
      <c r="AA21" s="290">
        <f t="shared" si="41"/>
        <v>17500</v>
      </c>
      <c r="AB21" s="290">
        <f t="shared" si="41"/>
        <v>17160</v>
      </c>
      <c r="AC21" s="309">
        <f t="shared" si="41"/>
        <v>340</v>
      </c>
      <c r="AD21" s="324">
        <f t="shared" si="41"/>
        <v>17500</v>
      </c>
      <c r="AE21" s="309">
        <f t="shared" si="41"/>
        <v>17115</v>
      </c>
      <c r="AF21" s="324">
        <f t="shared" si="41"/>
        <v>385</v>
      </c>
      <c r="AG21" s="309">
        <f t="shared" si="41"/>
        <v>46915</v>
      </c>
      <c r="AH21" s="309">
        <f t="shared" si="41"/>
        <v>18220</v>
      </c>
      <c r="AI21" s="309">
        <f t="shared" si="41"/>
        <v>17160</v>
      </c>
      <c r="AJ21" s="309">
        <f aca="true" t="shared" si="42" ref="AJ21:BO21">SUM(AJ13:AJ20)</f>
        <v>1060</v>
      </c>
      <c r="AK21" s="290">
        <f t="shared" si="42"/>
        <v>18220</v>
      </c>
      <c r="AL21" s="290">
        <f t="shared" si="42"/>
        <v>17430</v>
      </c>
      <c r="AM21" s="290">
        <f t="shared" si="42"/>
        <v>790</v>
      </c>
      <c r="AN21" s="290">
        <f t="shared" si="42"/>
        <v>18220</v>
      </c>
      <c r="AO21" s="290">
        <f t="shared" si="42"/>
        <v>16480</v>
      </c>
      <c r="AP21" s="309">
        <f t="shared" si="42"/>
        <v>1740</v>
      </c>
      <c r="AQ21" s="309">
        <f t="shared" si="42"/>
        <v>51070</v>
      </c>
      <c r="AR21" s="290">
        <f t="shared" si="42"/>
        <v>0</v>
      </c>
      <c r="AS21" s="309">
        <f t="shared" si="42"/>
        <v>0</v>
      </c>
      <c r="AT21" s="309">
        <f t="shared" si="42"/>
        <v>24673.11</v>
      </c>
      <c r="AU21" s="324">
        <f t="shared" si="42"/>
        <v>18420</v>
      </c>
      <c r="AV21" s="309">
        <f t="shared" si="42"/>
        <v>7805</v>
      </c>
      <c r="AW21" s="309">
        <f t="shared" si="42"/>
        <v>26225</v>
      </c>
      <c r="AX21" s="290">
        <f t="shared" si="42"/>
        <v>26225</v>
      </c>
      <c r="AY21" s="428">
        <f t="shared" si="42"/>
        <v>22845</v>
      </c>
      <c r="AZ21" s="309">
        <f t="shared" si="42"/>
        <v>3380</v>
      </c>
      <c r="BA21" s="309">
        <f t="shared" si="42"/>
        <v>0</v>
      </c>
      <c r="BB21" s="309">
        <f t="shared" si="42"/>
        <v>0</v>
      </c>
      <c r="BC21" s="324">
        <f t="shared" si="42"/>
        <v>17962.612268</v>
      </c>
      <c r="BD21" s="386">
        <f t="shared" si="42"/>
        <v>8263</v>
      </c>
      <c r="BE21" s="309">
        <f t="shared" si="42"/>
        <v>26225.612268</v>
      </c>
      <c r="BF21" s="290">
        <f t="shared" si="42"/>
        <v>26225.612268</v>
      </c>
      <c r="BG21" s="290">
        <f t="shared" si="42"/>
        <v>0</v>
      </c>
      <c r="BH21" s="290">
        <f t="shared" si="42"/>
        <v>0</v>
      </c>
      <c r="BI21" s="290">
        <f t="shared" si="42"/>
        <v>0</v>
      </c>
      <c r="BJ21" s="290">
        <f t="shared" si="42"/>
        <v>26225.612268</v>
      </c>
      <c r="BK21" s="428">
        <f t="shared" si="42"/>
        <v>22770</v>
      </c>
      <c r="BL21" s="290">
        <f t="shared" si="42"/>
        <v>-3455.6122680000008</v>
      </c>
      <c r="BM21" s="290">
        <f t="shared" si="42"/>
        <v>8314.581441920014</v>
      </c>
      <c r="BN21" s="290">
        <f t="shared" si="42"/>
        <v>8605.11</v>
      </c>
      <c r="BO21" s="290">
        <f t="shared" si="42"/>
        <v>16919.691441920015</v>
      </c>
      <c r="BP21" s="290">
        <f aca="true" t="shared" si="43" ref="BP21:BX21">SUM(BP13:BP20)</f>
        <v>0</v>
      </c>
      <c r="BQ21" s="290">
        <f t="shared" si="43"/>
        <v>17528.271441920013</v>
      </c>
      <c r="BR21" s="290">
        <f>SUM(BR13:BR20)</f>
        <v>16665</v>
      </c>
      <c r="BS21" s="511">
        <f>SUM(BS13:BS20)</f>
        <v>863.2714419200147</v>
      </c>
      <c r="BT21" s="290">
        <f>SUM(BT13:BT20)</f>
        <v>0</v>
      </c>
      <c r="BU21" s="511">
        <f t="shared" si="43"/>
        <v>62280</v>
      </c>
      <c r="BV21" s="48">
        <f t="shared" si="43"/>
        <v>199160</v>
      </c>
      <c r="BW21" s="491">
        <f t="shared" si="43"/>
        <v>199160</v>
      </c>
      <c r="BX21" s="269">
        <f t="shared" si="43"/>
        <v>0</v>
      </c>
    </row>
    <row r="22" spans="1:76" s="10" customFormat="1" ht="20.25" customHeight="1" thickBot="1">
      <c r="A22" s="63"/>
      <c r="B22" s="120" t="s">
        <v>39</v>
      </c>
      <c r="C22" s="49">
        <v>3290376</v>
      </c>
      <c r="D22" s="49">
        <f aca="true" t="shared" si="44" ref="D22:AI22">D12+D21</f>
        <v>200020.08000000002</v>
      </c>
      <c r="E22" s="49">
        <f t="shared" si="44"/>
        <v>257247</v>
      </c>
      <c r="F22" s="138">
        <f t="shared" si="44"/>
        <v>5312.620000000003</v>
      </c>
      <c r="G22" s="49">
        <f t="shared" si="44"/>
        <v>173459</v>
      </c>
      <c r="H22" s="49">
        <f t="shared" si="44"/>
        <v>195979.92</v>
      </c>
      <c r="I22" s="138">
        <f t="shared" si="44"/>
        <v>5312.620000000002</v>
      </c>
      <c r="J22" s="49">
        <f t="shared" si="44"/>
        <v>203238.79</v>
      </c>
      <c r="K22" s="49">
        <f t="shared" si="44"/>
        <v>245921</v>
      </c>
      <c r="L22" s="138">
        <f t="shared" si="44"/>
        <v>3103.814863649889</v>
      </c>
      <c r="M22" s="49">
        <f t="shared" si="44"/>
        <v>170588</v>
      </c>
      <c r="N22" s="49">
        <f t="shared" si="44"/>
        <v>196053.75000000003</v>
      </c>
      <c r="O22" s="138">
        <f t="shared" si="44"/>
        <v>3103.8148636498895</v>
      </c>
      <c r="P22" s="49">
        <f t="shared" si="44"/>
        <v>199186.6248636499</v>
      </c>
      <c r="Q22" s="49">
        <f t="shared" si="44"/>
        <v>367879</v>
      </c>
      <c r="R22" s="138">
        <f t="shared" si="44"/>
        <v>984.321827562543</v>
      </c>
      <c r="S22" s="49">
        <f t="shared" si="44"/>
        <v>871047</v>
      </c>
      <c r="T22" s="132">
        <f t="shared" si="44"/>
        <v>201948.6</v>
      </c>
      <c r="U22" s="132">
        <f t="shared" si="44"/>
        <v>193008</v>
      </c>
      <c r="V22" s="184">
        <f t="shared" si="44"/>
        <v>15540.600000000002</v>
      </c>
      <c r="W22" s="291">
        <f t="shared" si="44"/>
        <v>119625.25</v>
      </c>
      <c r="X22" s="328">
        <f t="shared" si="44"/>
        <v>16524.921827562546</v>
      </c>
      <c r="Y22" s="291">
        <f t="shared" si="44"/>
        <v>1282400</v>
      </c>
      <c r="Z22" s="291">
        <f t="shared" si="44"/>
        <v>193522.34000000003</v>
      </c>
      <c r="AA22" s="291">
        <f t="shared" si="44"/>
        <v>221542.42182756256</v>
      </c>
      <c r="AB22" s="291">
        <f t="shared" si="44"/>
        <v>305711</v>
      </c>
      <c r="AC22" s="138">
        <f t="shared" si="44"/>
        <v>341</v>
      </c>
      <c r="AD22" s="325">
        <f t="shared" si="44"/>
        <v>197340</v>
      </c>
      <c r="AE22" s="310">
        <f t="shared" si="44"/>
        <v>286584</v>
      </c>
      <c r="AF22" s="349">
        <f t="shared" si="44"/>
        <v>389</v>
      </c>
      <c r="AG22" s="310">
        <f t="shared" si="44"/>
        <v>785303</v>
      </c>
      <c r="AH22" s="310">
        <f t="shared" si="44"/>
        <v>184220</v>
      </c>
      <c r="AI22" s="310">
        <f t="shared" si="44"/>
        <v>238730</v>
      </c>
      <c r="AJ22" s="356">
        <f aca="true" t="shared" si="45" ref="AJ22:BO22">AJ12+AJ21</f>
        <v>1067</v>
      </c>
      <c r="AK22" s="291">
        <f t="shared" si="45"/>
        <v>196117</v>
      </c>
      <c r="AL22" s="291">
        <f t="shared" si="45"/>
        <v>293802</v>
      </c>
      <c r="AM22" s="368">
        <f t="shared" si="45"/>
        <v>790</v>
      </c>
      <c r="AN22" s="291">
        <f t="shared" si="45"/>
        <v>197270.37</v>
      </c>
      <c r="AO22" s="291">
        <f t="shared" si="45"/>
        <v>309491</v>
      </c>
      <c r="AP22" s="356">
        <f t="shared" si="45"/>
        <v>1755.369999999999</v>
      </c>
      <c r="AQ22" s="310">
        <f t="shared" si="45"/>
        <v>842023</v>
      </c>
      <c r="AR22" s="291">
        <f t="shared" si="45"/>
        <v>164072.55555555556</v>
      </c>
      <c r="AS22" s="138">
        <f t="shared" si="45"/>
        <v>0</v>
      </c>
      <c r="AT22" s="310">
        <f t="shared" si="45"/>
        <v>297199.99999999994</v>
      </c>
      <c r="AU22" s="325">
        <f t="shared" si="45"/>
        <v>197043</v>
      </c>
      <c r="AV22" s="310">
        <f t="shared" si="45"/>
        <v>45022</v>
      </c>
      <c r="AW22" s="310">
        <f t="shared" si="45"/>
        <v>239782.47</v>
      </c>
      <c r="AX22" s="291">
        <f t="shared" si="45"/>
        <v>191110.02</v>
      </c>
      <c r="AY22" s="429">
        <f t="shared" si="45"/>
        <v>348916</v>
      </c>
      <c r="AZ22" s="356">
        <f t="shared" si="45"/>
        <v>2087</v>
      </c>
      <c r="BA22" s="310">
        <f t="shared" si="45"/>
        <v>213008.3</v>
      </c>
      <c r="BB22" s="356">
        <f t="shared" si="45"/>
        <v>0</v>
      </c>
      <c r="BC22" s="325">
        <f t="shared" si="45"/>
        <v>97382.41502272003</v>
      </c>
      <c r="BD22" s="387">
        <f t="shared" si="45"/>
        <v>122355</v>
      </c>
      <c r="BE22" s="310">
        <f t="shared" si="45"/>
        <v>226200.37502272005</v>
      </c>
      <c r="BF22" s="291">
        <f t="shared" si="45"/>
        <v>226200.37502272005</v>
      </c>
      <c r="BG22" s="291">
        <f t="shared" si="45"/>
        <v>99999.99999999999</v>
      </c>
      <c r="BH22" s="291">
        <f t="shared" si="45"/>
        <v>39428.31</v>
      </c>
      <c r="BI22" s="291">
        <f t="shared" si="45"/>
        <v>48618.88</v>
      </c>
      <c r="BJ22" s="291">
        <f t="shared" si="45"/>
        <v>265628.6850227201</v>
      </c>
      <c r="BK22" s="429">
        <f t="shared" si="45"/>
        <v>523843</v>
      </c>
      <c r="BL22" s="291">
        <f t="shared" si="45"/>
        <v>258214.31497727995</v>
      </c>
      <c r="BM22" s="291">
        <f t="shared" si="45"/>
        <v>8314.58453192003</v>
      </c>
      <c r="BN22" s="291">
        <f t="shared" si="45"/>
        <v>129823.00000000001</v>
      </c>
      <c r="BO22" s="291">
        <f t="shared" si="45"/>
        <v>180347.07453192</v>
      </c>
      <c r="BP22" s="503">
        <f aca="true" t="shared" si="46" ref="BP22:BX22">BP12+BP21</f>
        <v>257229.26</v>
      </c>
      <c r="BQ22" s="291">
        <f t="shared" si="46"/>
        <v>466137.27453192003</v>
      </c>
      <c r="BR22" s="291">
        <f>BR12+BR21</f>
        <v>465274</v>
      </c>
      <c r="BS22" s="291">
        <f>BS12+BS21</f>
        <v>863.2745319200276</v>
      </c>
      <c r="BT22" s="291">
        <f>BT12+BT21</f>
        <v>181036.85</v>
      </c>
      <c r="BU22" s="291">
        <f t="shared" si="46"/>
        <v>1338033</v>
      </c>
      <c r="BV22" s="49">
        <f t="shared" si="46"/>
        <v>3836406</v>
      </c>
      <c r="BW22" s="49">
        <f t="shared" si="46"/>
        <v>3836406</v>
      </c>
      <c r="BX22" s="133">
        <f t="shared" si="46"/>
        <v>0</v>
      </c>
    </row>
    <row r="23" spans="1:124" s="73" customFormat="1" ht="34.5" customHeight="1" thickBot="1">
      <c r="A23" s="16"/>
      <c r="B23" s="17"/>
      <c r="C23" s="166" t="s">
        <v>36</v>
      </c>
      <c r="D23" s="165"/>
      <c r="E23" s="179">
        <f>-(F6+F7+F11)</f>
        <v>62539.54</v>
      </c>
      <c r="F23" s="126"/>
      <c r="G23" s="124" t="s">
        <v>33</v>
      </c>
      <c r="H23" s="127">
        <f>F22*100/G22</f>
        <v>3.0627525813016345</v>
      </c>
      <c r="I23" s="22"/>
      <c r="J23" s="231" t="s">
        <v>54</v>
      </c>
      <c r="K23" s="232">
        <f>-(L6+L7+L11)</f>
        <v>45786.02486364989</v>
      </c>
      <c r="L23" s="124" t="s">
        <v>33</v>
      </c>
      <c r="M23" s="249">
        <f>L22*100/M22</f>
        <v>1.8194801883191603</v>
      </c>
      <c r="N23" s="218"/>
      <c r="O23" s="218"/>
      <c r="P23" s="218"/>
      <c r="Q23" s="219"/>
      <c r="R23" s="220">
        <f>16871.57+152600+205.12</f>
        <v>169676.69</v>
      </c>
      <c r="S23" s="273" t="s">
        <v>69</v>
      </c>
      <c r="T23" s="272">
        <f>R22</f>
        <v>984.321827562543</v>
      </c>
      <c r="U23" s="231" t="s">
        <v>54</v>
      </c>
      <c r="V23" s="293">
        <f>-(V7)</f>
        <v>6600</v>
      </c>
      <c r="W23" s="298"/>
      <c r="X23" s="298"/>
      <c r="Y23" s="272"/>
      <c r="Z23" s="134"/>
      <c r="AA23" s="231" t="s">
        <v>54</v>
      </c>
      <c r="AB23" s="210">
        <f>-(AC6+AC7+AC11)</f>
        <v>84509.57895299152</v>
      </c>
      <c r="AC23" s="134"/>
      <c r="AD23" s="231" t="s">
        <v>54</v>
      </c>
      <c r="AE23" s="210">
        <f>-(AF6+AF7+AF11)</f>
        <v>89423</v>
      </c>
      <c r="AF23" s="134"/>
      <c r="AG23" s="134"/>
      <c r="AH23" s="134"/>
      <c r="AI23" s="231"/>
      <c r="AJ23" s="210"/>
      <c r="AK23" s="134"/>
      <c r="AL23" s="231"/>
      <c r="AM23" s="210"/>
      <c r="AN23" s="134"/>
      <c r="AO23" s="231"/>
      <c r="AP23" s="402"/>
      <c r="AQ23" s="134"/>
      <c r="AR23" s="134"/>
      <c r="AS23" s="134"/>
      <c r="AT23" s="134"/>
      <c r="AU23" s="134"/>
      <c r="AV23" s="134"/>
      <c r="AW23" s="134"/>
      <c r="AX23" s="134"/>
      <c r="AY23" s="231"/>
      <c r="AZ23" s="402"/>
      <c r="BA23" s="440"/>
      <c r="BB23" s="440"/>
      <c r="BC23" s="134"/>
      <c r="BD23" s="134"/>
      <c r="BE23" s="134"/>
      <c r="BF23" s="134"/>
      <c r="BG23" s="134"/>
      <c r="BH23" s="134"/>
      <c r="BI23" s="134"/>
      <c r="BJ23" s="134"/>
      <c r="BK23" s="341"/>
      <c r="BL23" s="342"/>
      <c r="BM23" s="134"/>
      <c r="BN23" s="134"/>
      <c r="BO23" s="134"/>
      <c r="BP23" s="489"/>
      <c r="BQ23" s="134"/>
      <c r="BR23" s="341"/>
      <c r="BS23" s="402"/>
      <c r="BT23" s="134"/>
      <c r="BU23" s="134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</row>
    <row r="24" spans="2:75" s="105" customFormat="1" ht="36" customHeight="1" hidden="1" thickBot="1">
      <c r="B24" s="106"/>
      <c r="C24" s="107"/>
      <c r="D24" s="77"/>
      <c r="E24" s="109"/>
      <c r="F24" s="77"/>
      <c r="G24" s="77"/>
      <c r="H24" s="108"/>
      <c r="I24" s="108"/>
      <c r="J24" s="107"/>
      <c r="K24" s="108"/>
      <c r="L24" s="526" t="s">
        <v>40</v>
      </c>
      <c r="M24" s="527"/>
      <c r="N24" s="528"/>
      <c r="O24" s="225"/>
      <c r="P24" s="225"/>
      <c r="Q24" s="217">
        <f>N23+R22</f>
        <v>984.321827562543</v>
      </c>
      <c r="R24" s="177" t="s">
        <v>33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430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430"/>
      <c r="BL24" s="106"/>
      <c r="BM24" s="106"/>
      <c r="BN24" s="106"/>
      <c r="BO24" s="106"/>
      <c r="BP24" s="430"/>
      <c r="BQ24" s="106"/>
      <c r="BR24" s="106"/>
      <c r="BS24" s="106"/>
      <c r="BT24" s="106"/>
      <c r="BU24" s="106"/>
      <c r="BV24" s="205"/>
      <c r="BW24" s="77"/>
    </row>
    <row r="25" spans="2:75" s="93" customFormat="1" ht="33" customHeight="1" thickBot="1">
      <c r="B25" s="110"/>
      <c r="C25" s="87"/>
      <c r="D25" s="36"/>
      <c r="E25" s="83"/>
      <c r="F25" s="36"/>
      <c r="G25" s="36"/>
      <c r="H25" s="87"/>
      <c r="I25" s="87"/>
      <c r="J25" s="41"/>
      <c r="K25" s="529"/>
      <c r="L25" s="530"/>
      <c r="M25" s="248"/>
      <c r="N25" s="87"/>
      <c r="O25" s="87"/>
      <c r="P25" s="87"/>
      <c r="Q25" s="87"/>
      <c r="R25" s="87"/>
      <c r="S25" s="84"/>
      <c r="T25" s="531" t="s">
        <v>80</v>
      </c>
      <c r="U25" s="532"/>
      <c r="V25" s="176">
        <f>R22+V22</f>
        <v>16524.921827562546</v>
      </c>
      <c r="W25" s="316" t="s">
        <v>92</v>
      </c>
      <c r="X25" s="327">
        <f>V25*100/W22</f>
        <v>13.813907872763105</v>
      </c>
      <c r="Y25" s="84"/>
      <c r="Z25" s="84"/>
      <c r="AA25" s="84"/>
      <c r="AB25" s="84"/>
      <c r="AC25" s="343"/>
      <c r="AD25" s="176">
        <f>AC22+AF22</f>
        <v>730</v>
      </c>
      <c r="AE25" s="350" t="s">
        <v>100</v>
      </c>
      <c r="AF25" s="351">
        <f>-AF10</f>
        <v>210.00000000000182</v>
      </c>
      <c r="AG25" s="84"/>
      <c r="AH25" s="84"/>
      <c r="AI25" s="84"/>
      <c r="AJ25" s="84"/>
      <c r="AK25" s="84"/>
      <c r="AL25" s="84"/>
      <c r="AM25" s="84"/>
      <c r="AN25" s="84"/>
      <c r="AO25" s="343"/>
      <c r="AP25" s="407"/>
      <c r="AQ25" s="405"/>
      <c r="AR25" s="406"/>
      <c r="AS25" s="84"/>
      <c r="AT25" s="84"/>
      <c r="AU25" s="84"/>
      <c r="AV25" s="84"/>
      <c r="AW25" s="83"/>
      <c r="AX25" s="84"/>
      <c r="AY25" s="405"/>
      <c r="AZ25" s="443"/>
      <c r="BA25" s="84"/>
      <c r="BB25" s="84"/>
      <c r="BC25" s="84"/>
      <c r="BD25" s="84"/>
      <c r="BE25" s="84"/>
      <c r="BF25" s="84"/>
      <c r="BG25" s="84"/>
      <c r="BH25" s="84"/>
      <c r="BI25" s="84"/>
      <c r="BJ25" s="533"/>
      <c r="BK25" s="534"/>
      <c r="BL25" s="398"/>
      <c r="BM25" s="84"/>
      <c r="BN25" s="84"/>
      <c r="BO25" s="84"/>
      <c r="BP25" s="431"/>
      <c r="BQ25" s="84"/>
      <c r="BR25" s="84"/>
      <c r="BS25" s="84"/>
      <c r="BT25" s="84"/>
      <c r="BU25" s="84"/>
      <c r="BV25" s="175"/>
      <c r="BW25" s="369"/>
    </row>
    <row r="26" spans="2:75" s="93" customFormat="1" ht="12.75">
      <c r="B26" s="111"/>
      <c r="C26" s="112"/>
      <c r="D26" s="36"/>
      <c r="E26" s="83"/>
      <c r="F26" s="36"/>
      <c r="G26" s="36"/>
      <c r="H26" s="87"/>
      <c r="I26" s="87"/>
      <c r="J26" s="41"/>
      <c r="K26" s="87"/>
      <c r="L26" s="87"/>
      <c r="M26" s="87"/>
      <c r="N26" s="87"/>
      <c r="O26" s="87"/>
      <c r="P26" s="87"/>
      <c r="Q26" s="87"/>
      <c r="R26" s="87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431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431"/>
      <c r="BL26" s="84"/>
      <c r="BM26" s="84"/>
      <c r="BN26" s="84"/>
      <c r="BO26" s="84"/>
      <c r="BP26" s="431"/>
      <c r="BQ26" s="84"/>
      <c r="BR26" s="84"/>
      <c r="BS26" s="84"/>
      <c r="BT26" s="84"/>
      <c r="BU26" s="84"/>
      <c r="BV26" s="83"/>
      <c r="BW26" s="36"/>
    </row>
    <row r="27" spans="2:75" s="93" customFormat="1" ht="12.75">
      <c r="B27" s="84"/>
      <c r="C27" s="41"/>
      <c r="D27" s="36"/>
      <c r="E27" s="83"/>
      <c r="F27" s="36"/>
      <c r="G27" s="36"/>
      <c r="H27" s="87"/>
      <c r="I27" s="87"/>
      <c r="J27" s="41"/>
      <c r="K27" s="87"/>
      <c r="L27" s="87"/>
      <c r="M27" s="87"/>
      <c r="N27" s="87"/>
      <c r="O27" s="87"/>
      <c r="P27" s="87"/>
      <c r="Q27" s="87"/>
      <c r="R27" s="87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109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431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431"/>
      <c r="BL27" s="84"/>
      <c r="BM27" s="84"/>
      <c r="BN27" s="84"/>
      <c r="BO27" s="84"/>
      <c r="BP27" s="431"/>
      <c r="BQ27" s="84"/>
      <c r="BR27" s="84"/>
      <c r="BS27" s="84"/>
      <c r="BT27" s="84"/>
      <c r="BU27" s="84"/>
      <c r="BV27" s="83"/>
      <c r="BW27" s="36"/>
    </row>
    <row r="28" spans="2:75" s="93" customFormat="1" ht="12.75">
      <c r="B28" s="86"/>
      <c r="C28" s="85"/>
      <c r="D28" s="101"/>
      <c r="E28" s="96"/>
      <c r="F28" s="85"/>
      <c r="G28" s="85"/>
      <c r="H28" s="102"/>
      <c r="I28" s="102"/>
      <c r="J28" s="85"/>
      <c r="K28" s="102"/>
      <c r="L28" s="102"/>
      <c r="M28" s="102"/>
      <c r="N28" s="102"/>
      <c r="O28" s="102"/>
      <c r="P28" s="102"/>
      <c r="Q28" s="102"/>
      <c r="R28" s="102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432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432"/>
      <c r="BL28" s="96"/>
      <c r="BM28" s="96"/>
      <c r="BN28" s="96"/>
      <c r="BO28" s="96"/>
      <c r="BP28" s="432"/>
      <c r="BQ28" s="96"/>
      <c r="BR28" s="96"/>
      <c r="BS28" s="96"/>
      <c r="BT28" s="96"/>
      <c r="BU28" s="96"/>
      <c r="BV28" s="113"/>
      <c r="BW28" s="114"/>
    </row>
    <row r="29" spans="2:75" s="93" customFormat="1" ht="15.75" customHeight="1">
      <c r="B29" s="86"/>
      <c r="C29" s="85"/>
      <c r="D29" s="101"/>
      <c r="E29" s="216"/>
      <c r="F29" s="101"/>
      <c r="G29" s="101"/>
      <c r="H29" s="102"/>
      <c r="I29" s="102"/>
      <c r="J29" s="85"/>
      <c r="K29" s="102"/>
      <c r="L29" s="102"/>
      <c r="M29" s="102"/>
      <c r="N29" s="102"/>
      <c r="O29" s="102"/>
      <c r="P29" s="102"/>
      <c r="Q29" s="102"/>
      <c r="R29" s="102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432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432"/>
      <c r="BL29" s="96"/>
      <c r="BM29" s="96"/>
      <c r="BN29" s="96"/>
      <c r="BO29" s="96"/>
      <c r="BP29" s="432"/>
      <c r="BQ29" s="96"/>
      <c r="BR29" s="96"/>
      <c r="BS29" s="96"/>
      <c r="BT29" s="96"/>
      <c r="BU29" s="96"/>
      <c r="BV29" s="96"/>
      <c r="BW29" s="101"/>
    </row>
    <row r="30" spans="2:75" s="93" customFormat="1" ht="15" customHeight="1">
      <c r="B30" s="103"/>
      <c r="C30" s="85"/>
      <c r="D30" s="101"/>
      <c r="E30" s="96"/>
      <c r="F30" s="101"/>
      <c r="G30" s="101"/>
      <c r="H30" s="102"/>
      <c r="I30" s="102"/>
      <c r="J30" s="85"/>
      <c r="K30" s="101"/>
      <c r="L30" s="102"/>
      <c r="M30" s="102"/>
      <c r="N30" s="102"/>
      <c r="O30" s="102"/>
      <c r="P30" s="102"/>
      <c r="Q30" s="102"/>
      <c r="R30" s="102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432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432"/>
      <c r="BL30" s="96"/>
      <c r="BM30" s="96"/>
      <c r="BN30" s="96"/>
      <c r="BO30" s="96"/>
      <c r="BP30" s="432"/>
      <c r="BQ30" s="96"/>
      <c r="BR30" s="96"/>
      <c r="BS30" s="96"/>
      <c r="BT30" s="96"/>
      <c r="BU30" s="96"/>
      <c r="BV30" s="140"/>
      <c r="BW30" s="101"/>
    </row>
    <row r="31" spans="2:75" s="93" customFormat="1" ht="17.25" customHeight="1">
      <c r="B31" s="104"/>
      <c r="C31" s="41"/>
      <c r="D31" s="36"/>
      <c r="E31" s="83"/>
      <c r="F31" s="36"/>
      <c r="G31" s="36"/>
      <c r="H31" s="87"/>
      <c r="I31" s="87"/>
      <c r="J31" s="41"/>
      <c r="K31" s="87"/>
      <c r="L31" s="87"/>
      <c r="M31" s="87"/>
      <c r="N31" s="87"/>
      <c r="O31" s="87"/>
      <c r="P31" s="87"/>
      <c r="Q31" s="87"/>
      <c r="R31" s="87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431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431"/>
      <c r="BL31" s="83"/>
      <c r="BM31" s="83"/>
      <c r="BN31" s="83"/>
      <c r="BO31" s="83"/>
      <c r="BP31" s="431"/>
      <c r="BQ31" s="83"/>
      <c r="BR31" s="83"/>
      <c r="BS31" s="83"/>
      <c r="BT31" s="83"/>
      <c r="BU31" s="83"/>
      <c r="BV31" s="96"/>
      <c r="BW31" s="101"/>
    </row>
    <row r="32" spans="2:75" s="93" customFormat="1" ht="25.5" customHeight="1" hidden="1" thickBot="1">
      <c r="B32" s="84"/>
      <c r="C32" s="41"/>
      <c r="D32" s="36"/>
      <c r="E32" s="83"/>
      <c r="F32" s="36"/>
      <c r="G32" s="36"/>
      <c r="H32" s="87"/>
      <c r="I32" s="87"/>
      <c r="J32" s="41"/>
      <c r="K32" s="87"/>
      <c r="L32" s="87"/>
      <c r="M32" s="87"/>
      <c r="N32" s="87"/>
      <c r="O32" s="87"/>
      <c r="P32" s="87"/>
      <c r="Q32" s="87"/>
      <c r="R32" s="87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431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431"/>
      <c r="BL32" s="84"/>
      <c r="BM32" s="84"/>
      <c r="BN32" s="84"/>
      <c r="BO32" s="84"/>
      <c r="BP32" s="431"/>
      <c r="BQ32" s="84"/>
      <c r="BR32" s="84"/>
      <c r="BS32" s="84"/>
      <c r="BT32" s="84"/>
      <c r="BU32" s="84"/>
      <c r="BV32" s="83"/>
      <c r="BW32" s="36"/>
    </row>
    <row r="33" spans="2:75" s="93" customFormat="1" ht="25.5" customHeight="1" hidden="1" thickBot="1">
      <c r="B33" s="84"/>
      <c r="C33" s="41"/>
      <c r="D33" s="36"/>
      <c r="E33" s="83"/>
      <c r="F33" s="36"/>
      <c r="G33" s="36"/>
      <c r="H33" s="87"/>
      <c r="I33" s="87"/>
      <c r="J33" s="41"/>
      <c r="K33" s="87"/>
      <c r="L33" s="87"/>
      <c r="M33" s="87"/>
      <c r="N33" s="87"/>
      <c r="O33" s="87"/>
      <c r="P33" s="87"/>
      <c r="Q33" s="87"/>
      <c r="R33" s="87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431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431"/>
      <c r="BL33" s="84"/>
      <c r="BM33" s="84"/>
      <c r="BN33" s="84"/>
      <c r="BO33" s="84"/>
      <c r="BP33" s="431"/>
      <c r="BQ33" s="84"/>
      <c r="BR33" s="84"/>
      <c r="BS33" s="84"/>
      <c r="BT33" s="84"/>
      <c r="BU33" s="84"/>
      <c r="BV33" s="83"/>
      <c r="BW33" s="36"/>
    </row>
    <row r="34" spans="2:75" s="93" customFormat="1" ht="25.5" customHeight="1" hidden="1">
      <c r="B34" s="84"/>
      <c r="C34" s="41"/>
      <c r="D34" s="36"/>
      <c r="E34" s="83"/>
      <c r="F34" s="36"/>
      <c r="G34" s="36"/>
      <c r="H34" s="87"/>
      <c r="I34" s="87"/>
      <c r="J34" s="41"/>
      <c r="K34" s="87"/>
      <c r="L34" s="87"/>
      <c r="M34" s="87"/>
      <c r="N34" s="87"/>
      <c r="O34" s="87"/>
      <c r="P34" s="87"/>
      <c r="Q34" s="87"/>
      <c r="R34" s="87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431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431"/>
      <c r="BL34" s="84"/>
      <c r="BM34" s="84"/>
      <c r="BN34" s="84"/>
      <c r="BO34" s="84"/>
      <c r="BP34" s="431"/>
      <c r="BQ34" s="84"/>
      <c r="BR34" s="84"/>
      <c r="BS34" s="84"/>
      <c r="BT34" s="84"/>
      <c r="BU34" s="84"/>
      <c r="BV34" s="83"/>
      <c r="BW34" s="36"/>
    </row>
    <row r="35" spans="2:75" s="93" customFormat="1" ht="25.5" customHeight="1">
      <c r="B35" s="84"/>
      <c r="C35" s="41"/>
      <c r="D35" s="36"/>
      <c r="E35" s="83"/>
      <c r="F35" s="36"/>
      <c r="G35" s="36"/>
      <c r="H35" s="87"/>
      <c r="I35" s="87"/>
      <c r="J35" s="41"/>
      <c r="K35" s="87"/>
      <c r="L35" s="87"/>
      <c r="M35" s="87"/>
      <c r="N35" s="87"/>
      <c r="O35" s="87"/>
      <c r="P35" s="87"/>
      <c r="Q35" s="87"/>
      <c r="R35" s="87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431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431"/>
      <c r="BL35" s="84"/>
      <c r="BM35" s="84"/>
      <c r="BN35" s="84"/>
      <c r="BO35" s="84"/>
      <c r="BP35" s="431"/>
      <c r="BQ35" s="84"/>
      <c r="BR35" s="84"/>
      <c r="BS35" s="84"/>
      <c r="BT35" s="84"/>
      <c r="BU35" s="84"/>
      <c r="BV35" s="83"/>
      <c r="BW35" s="36"/>
    </row>
    <row r="36" spans="2:75" s="93" customFormat="1" ht="25.5" customHeight="1">
      <c r="B36" s="84"/>
      <c r="C36" s="41"/>
      <c r="D36" s="36"/>
      <c r="E36" s="83"/>
      <c r="F36" s="36"/>
      <c r="G36" s="36"/>
      <c r="H36" s="87"/>
      <c r="I36" s="87"/>
      <c r="J36" s="41"/>
      <c r="K36" s="87"/>
      <c r="L36" s="87"/>
      <c r="M36" s="87"/>
      <c r="N36" s="87"/>
      <c r="O36" s="87"/>
      <c r="P36" s="87"/>
      <c r="Q36" s="87"/>
      <c r="R36" s="8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431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431"/>
      <c r="BL36" s="84"/>
      <c r="BM36" s="84"/>
      <c r="BN36" s="84"/>
      <c r="BO36" s="84"/>
      <c r="BP36" s="431"/>
      <c r="BQ36" s="84"/>
      <c r="BR36" s="84"/>
      <c r="BS36" s="84"/>
      <c r="BT36" s="84"/>
      <c r="BU36" s="84"/>
      <c r="BV36" s="83"/>
      <c r="BW36" s="36"/>
    </row>
    <row r="37" spans="2:75" s="93" customFormat="1" ht="25.5" customHeight="1">
      <c r="B37" s="84"/>
      <c r="C37" s="41"/>
      <c r="D37" s="36"/>
      <c r="E37" s="83"/>
      <c r="F37" s="36"/>
      <c r="G37" s="36"/>
      <c r="H37" s="87"/>
      <c r="I37" s="87"/>
      <c r="J37" s="41"/>
      <c r="K37" s="87"/>
      <c r="L37" s="87"/>
      <c r="M37" s="87"/>
      <c r="N37" s="87"/>
      <c r="O37" s="87"/>
      <c r="P37" s="87"/>
      <c r="Q37" s="87"/>
      <c r="R37" s="87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431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431"/>
      <c r="BL37" s="84"/>
      <c r="BM37" s="84"/>
      <c r="BN37" s="84"/>
      <c r="BO37" s="84"/>
      <c r="BP37" s="431"/>
      <c r="BQ37" s="84"/>
      <c r="BR37" s="84"/>
      <c r="BS37" s="84"/>
      <c r="BT37" s="84"/>
      <c r="BU37" s="84"/>
      <c r="BV37" s="83"/>
      <c r="BW37" s="36"/>
    </row>
    <row r="38" spans="2:75" s="93" customFormat="1" ht="25.5" customHeight="1">
      <c r="B38" s="84"/>
      <c r="C38" s="41"/>
      <c r="D38" s="36"/>
      <c r="E38" s="83"/>
      <c r="F38" s="36"/>
      <c r="G38" s="36"/>
      <c r="H38" s="87"/>
      <c r="I38" s="87"/>
      <c r="J38" s="41"/>
      <c r="K38" s="87"/>
      <c r="L38" s="87"/>
      <c r="M38" s="87"/>
      <c r="N38" s="87"/>
      <c r="O38" s="87"/>
      <c r="P38" s="87"/>
      <c r="Q38" s="87"/>
      <c r="R38" s="87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431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431"/>
      <c r="BL38" s="84"/>
      <c r="BM38" s="84"/>
      <c r="BN38" s="84"/>
      <c r="BO38" s="84"/>
      <c r="BP38" s="431"/>
      <c r="BQ38" s="84"/>
      <c r="BR38" s="84"/>
      <c r="BS38" s="84"/>
      <c r="BT38" s="84"/>
      <c r="BU38" s="84"/>
      <c r="BV38" s="83"/>
      <c r="BW38" s="36"/>
    </row>
    <row r="39" spans="2:75" s="93" customFormat="1" ht="25.5" customHeight="1">
      <c r="B39" s="84"/>
      <c r="C39" s="41"/>
      <c r="D39" s="36"/>
      <c r="E39" s="83"/>
      <c r="F39" s="36"/>
      <c r="G39" s="36"/>
      <c r="H39" s="87"/>
      <c r="I39" s="87"/>
      <c r="J39" s="41"/>
      <c r="K39" s="87"/>
      <c r="L39" s="87"/>
      <c r="M39" s="87"/>
      <c r="N39" s="87"/>
      <c r="O39" s="87"/>
      <c r="P39" s="87"/>
      <c r="Q39" s="87"/>
      <c r="R39" s="87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431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431"/>
      <c r="BL39" s="84"/>
      <c r="BM39" s="84"/>
      <c r="BN39" s="84"/>
      <c r="BO39" s="84"/>
      <c r="BP39" s="431"/>
      <c r="BQ39" s="84"/>
      <c r="BR39" s="84"/>
      <c r="BS39" s="84"/>
      <c r="BT39" s="84"/>
      <c r="BU39" s="84"/>
      <c r="BV39" s="83"/>
      <c r="BW39" s="36"/>
    </row>
    <row r="40" spans="2:75" s="93" customFormat="1" ht="25.5" customHeight="1">
      <c r="B40" s="84"/>
      <c r="C40" s="41"/>
      <c r="D40" s="36"/>
      <c r="E40" s="83"/>
      <c r="F40" s="36"/>
      <c r="G40" s="36"/>
      <c r="H40" s="87"/>
      <c r="I40" s="87"/>
      <c r="J40" s="41"/>
      <c r="K40" s="87"/>
      <c r="L40" s="87"/>
      <c r="M40" s="87"/>
      <c r="N40" s="87"/>
      <c r="O40" s="87"/>
      <c r="P40" s="87"/>
      <c r="Q40" s="87"/>
      <c r="R40" s="87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431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431"/>
      <c r="BL40" s="84"/>
      <c r="BM40" s="84"/>
      <c r="BN40" s="84"/>
      <c r="BO40" s="84"/>
      <c r="BP40" s="431"/>
      <c r="BQ40" s="84"/>
      <c r="BR40" s="84"/>
      <c r="BS40" s="84"/>
      <c r="BT40" s="84"/>
      <c r="BU40" s="84"/>
      <c r="BV40" s="83"/>
      <c r="BW40" s="36"/>
    </row>
    <row r="41" spans="2:75" s="93" customFormat="1" ht="25.5" customHeight="1">
      <c r="B41" s="84"/>
      <c r="C41" s="41"/>
      <c r="D41" s="36"/>
      <c r="E41" s="83"/>
      <c r="F41" s="36"/>
      <c r="G41" s="36"/>
      <c r="H41" s="87"/>
      <c r="I41" s="87"/>
      <c r="J41" s="41"/>
      <c r="K41" s="87"/>
      <c r="L41" s="87"/>
      <c r="M41" s="87"/>
      <c r="N41" s="87"/>
      <c r="O41" s="87"/>
      <c r="P41" s="87"/>
      <c r="Q41" s="87"/>
      <c r="R41" s="87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431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431"/>
      <c r="BL41" s="84"/>
      <c r="BM41" s="84"/>
      <c r="BN41" s="84"/>
      <c r="BO41" s="84"/>
      <c r="BP41" s="431"/>
      <c r="BQ41" s="84"/>
      <c r="BR41" s="84"/>
      <c r="BS41" s="84"/>
      <c r="BT41" s="84"/>
      <c r="BU41" s="84"/>
      <c r="BV41" s="83"/>
      <c r="BW41" s="36"/>
    </row>
    <row r="42" spans="2:75" s="93" customFormat="1" ht="25.5" customHeight="1">
      <c r="B42" s="84"/>
      <c r="C42" s="41"/>
      <c r="D42" s="36"/>
      <c r="E42" s="83"/>
      <c r="F42" s="36"/>
      <c r="G42" s="36"/>
      <c r="H42" s="87"/>
      <c r="I42" s="87"/>
      <c r="J42" s="41"/>
      <c r="K42" s="87"/>
      <c r="L42" s="87"/>
      <c r="M42" s="87"/>
      <c r="N42" s="87"/>
      <c r="O42" s="87"/>
      <c r="P42" s="87"/>
      <c r="Q42" s="87"/>
      <c r="R42" s="87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431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431"/>
      <c r="BL42" s="84"/>
      <c r="BM42" s="84"/>
      <c r="BN42" s="84"/>
      <c r="BO42" s="84"/>
      <c r="BP42" s="431"/>
      <c r="BQ42" s="84"/>
      <c r="BR42" s="84"/>
      <c r="BS42" s="84"/>
      <c r="BT42" s="84"/>
      <c r="BU42" s="84"/>
      <c r="BV42" s="83"/>
      <c r="BW42" s="36"/>
    </row>
    <row r="43" spans="2:75" s="93" customFormat="1" ht="25.5" customHeight="1">
      <c r="B43" s="84"/>
      <c r="C43" s="41"/>
      <c r="D43" s="36"/>
      <c r="E43" s="83"/>
      <c r="F43" s="36"/>
      <c r="G43" s="36"/>
      <c r="H43" s="87"/>
      <c r="I43" s="87"/>
      <c r="J43" s="41"/>
      <c r="K43" s="87"/>
      <c r="L43" s="87"/>
      <c r="M43" s="87"/>
      <c r="N43" s="87"/>
      <c r="O43" s="87"/>
      <c r="P43" s="87"/>
      <c r="Q43" s="87"/>
      <c r="R43" s="87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431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431"/>
      <c r="BL43" s="84"/>
      <c r="BM43" s="84"/>
      <c r="BN43" s="84"/>
      <c r="BO43" s="84"/>
      <c r="BP43" s="431"/>
      <c r="BQ43" s="84"/>
      <c r="BR43" s="84"/>
      <c r="BS43" s="84"/>
      <c r="BT43" s="84"/>
      <c r="BU43" s="84"/>
      <c r="BV43" s="83"/>
      <c r="BW43" s="36"/>
    </row>
    <row r="44" spans="2:75" s="93" customFormat="1" ht="25.5" customHeight="1">
      <c r="B44" s="84"/>
      <c r="C44" s="41"/>
      <c r="D44" s="36"/>
      <c r="E44" s="83"/>
      <c r="F44" s="36"/>
      <c r="G44" s="36"/>
      <c r="H44" s="87"/>
      <c r="I44" s="87"/>
      <c r="J44" s="41"/>
      <c r="K44" s="87"/>
      <c r="L44" s="87"/>
      <c r="M44" s="87"/>
      <c r="N44" s="87"/>
      <c r="O44" s="87"/>
      <c r="P44" s="87"/>
      <c r="Q44" s="87"/>
      <c r="R44" s="87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431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31"/>
      <c r="BL44" s="84"/>
      <c r="BM44" s="84"/>
      <c r="BN44" s="84"/>
      <c r="BO44" s="84"/>
      <c r="BP44" s="431"/>
      <c r="BQ44" s="84"/>
      <c r="BR44" s="84"/>
      <c r="BS44" s="84"/>
      <c r="BT44" s="84"/>
      <c r="BU44" s="84"/>
      <c r="BV44" s="83"/>
      <c r="BW44" s="36"/>
    </row>
    <row r="45" spans="2:75" s="93" customFormat="1" ht="25.5" customHeight="1">
      <c r="B45" s="84"/>
      <c r="C45" s="41"/>
      <c r="D45" s="36"/>
      <c r="E45" s="83"/>
      <c r="F45" s="36"/>
      <c r="G45" s="36"/>
      <c r="H45" s="87"/>
      <c r="I45" s="87"/>
      <c r="J45" s="41"/>
      <c r="K45" s="87"/>
      <c r="L45" s="87"/>
      <c r="M45" s="87"/>
      <c r="N45" s="87"/>
      <c r="O45" s="87"/>
      <c r="P45" s="87"/>
      <c r="Q45" s="87"/>
      <c r="R45" s="87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431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431"/>
      <c r="BL45" s="84"/>
      <c r="BM45" s="84"/>
      <c r="BN45" s="84"/>
      <c r="BO45" s="84"/>
      <c r="BP45" s="431"/>
      <c r="BQ45" s="84"/>
      <c r="BR45" s="84"/>
      <c r="BS45" s="84"/>
      <c r="BT45" s="84"/>
      <c r="BU45" s="84"/>
      <c r="BV45" s="83"/>
      <c r="BW45" s="36"/>
    </row>
    <row r="46" spans="2:75" s="93" customFormat="1" ht="25.5" customHeight="1">
      <c r="B46" s="84"/>
      <c r="C46" s="41"/>
      <c r="D46" s="36"/>
      <c r="E46" s="83"/>
      <c r="F46" s="36"/>
      <c r="G46" s="36"/>
      <c r="H46" s="87"/>
      <c r="I46" s="87"/>
      <c r="J46" s="41"/>
      <c r="K46" s="87"/>
      <c r="L46" s="87"/>
      <c r="M46" s="87"/>
      <c r="N46" s="87"/>
      <c r="O46" s="87"/>
      <c r="P46" s="87"/>
      <c r="Q46" s="87"/>
      <c r="R46" s="87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431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431"/>
      <c r="BL46" s="84"/>
      <c r="BM46" s="84"/>
      <c r="BN46" s="84"/>
      <c r="BO46" s="84"/>
      <c r="BP46" s="431"/>
      <c r="BQ46" s="84"/>
      <c r="BR46" s="84"/>
      <c r="BS46" s="84"/>
      <c r="BT46" s="84"/>
      <c r="BU46" s="84"/>
      <c r="BV46" s="83"/>
      <c r="BW46" s="36"/>
    </row>
    <row r="47" spans="2:75" s="93" customFormat="1" ht="25.5" customHeight="1">
      <c r="B47" s="84"/>
      <c r="C47" s="41"/>
      <c r="D47" s="36"/>
      <c r="E47" s="83"/>
      <c r="F47" s="36"/>
      <c r="G47" s="36"/>
      <c r="H47" s="87"/>
      <c r="I47" s="87"/>
      <c r="J47" s="41"/>
      <c r="K47" s="87"/>
      <c r="L47" s="87"/>
      <c r="M47" s="87"/>
      <c r="N47" s="87"/>
      <c r="O47" s="87"/>
      <c r="P47" s="87"/>
      <c r="Q47" s="87"/>
      <c r="R47" s="87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431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431"/>
      <c r="BL47" s="84"/>
      <c r="BM47" s="84"/>
      <c r="BN47" s="84"/>
      <c r="BO47" s="84"/>
      <c r="BP47" s="431"/>
      <c r="BQ47" s="84"/>
      <c r="BR47" s="84"/>
      <c r="BS47" s="84"/>
      <c r="BT47" s="84"/>
      <c r="BU47" s="84"/>
      <c r="BV47" s="83"/>
      <c r="BW47" s="36"/>
    </row>
    <row r="48" spans="2:75" s="93" customFormat="1" ht="25.5" customHeight="1">
      <c r="B48" s="84"/>
      <c r="C48" s="41"/>
      <c r="D48" s="36"/>
      <c r="E48" s="83"/>
      <c r="F48" s="36"/>
      <c r="G48" s="36"/>
      <c r="H48" s="87"/>
      <c r="I48" s="87"/>
      <c r="J48" s="41"/>
      <c r="K48" s="87"/>
      <c r="L48" s="87"/>
      <c r="M48" s="87"/>
      <c r="N48" s="87"/>
      <c r="O48" s="87"/>
      <c r="P48" s="87"/>
      <c r="Q48" s="87"/>
      <c r="R48" s="87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431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431"/>
      <c r="BL48" s="84"/>
      <c r="BM48" s="84"/>
      <c r="BN48" s="84"/>
      <c r="BO48" s="84"/>
      <c r="BP48" s="431"/>
      <c r="BQ48" s="84"/>
      <c r="BR48" s="84"/>
      <c r="BS48" s="84"/>
      <c r="BT48" s="84"/>
      <c r="BU48" s="84"/>
      <c r="BV48" s="83"/>
      <c r="BW48" s="36"/>
    </row>
    <row r="49" spans="2:75" s="93" customFormat="1" ht="25.5" customHeight="1">
      <c r="B49" s="84"/>
      <c r="C49" s="41"/>
      <c r="D49" s="36"/>
      <c r="E49" s="83"/>
      <c r="F49" s="36"/>
      <c r="G49" s="36"/>
      <c r="H49" s="87"/>
      <c r="I49" s="87"/>
      <c r="J49" s="41"/>
      <c r="K49" s="87"/>
      <c r="L49" s="87"/>
      <c r="M49" s="87"/>
      <c r="N49" s="87"/>
      <c r="O49" s="87"/>
      <c r="P49" s="87"/>
      <c r="Q49" s="87"/>
      <c r="R49" s="87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431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431"/>
      <c r="BL49" s="84"/>
      <c r="BM49" s="84"/>
      <c r="BN49" s="84"/>
      <c r="BO49" s="84"/>
      <c r="BP49" s="431"/>
      <c r="BQ49" s="84"/>
      <c r="BR49" s="84"/>
      <c r="BS49" s="84"/>
      <c r="BT49" s="84"/>
      <c r="BU49" s="84"/>
      <c r="BV49" s="83"/>
      <c r="BW49" s="36"/>
    </row>
    <row r="50" spans="2:75" s="93" customFormat="1" ht="25.5" customHeight="1">
      <c r="B50" s="84"/>
      <c r="C50" s="41"/>
      <c r="D50" s="36"/>
      <c r="E50" s="83"/>
      <c r="F50" s="36"/>
      <c r="G50" s="36"/>
      <c r="H50" s="87"/>
      <c r="I50" s="87"/>
      <c r="J50" s="41"/>
      <c r="K50" s="87"/>
      <c r="L50" s="87"/>
      <c r="M50" s="87"/>
      <c r="N50" s="87"/>
      <c r="O50" s="87"/>
      <c r="P50" s="87"/>
      <c r="Q50" s="87"/>
      <c r="R50" s="87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431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431"/>
      <c r="BL50" s="84"/>
      <c r="BM50" s="84"/>
      <c r="BN50" s="84"/>
      <c r="BO50" s="84"/>
      <c r="BP50" s="431"/>
      <c r="BQ50" s="84"/>
      <c r="BR50" s="84"/>
      <c r="BS50" s="84"/>
      <c r="BT50" s="84"/>
      <c r="BU50" s="84"/>
      <c r="BV50" s="83"/>
      <c r="BW50" s="36"/>
    </row>
    <row r="51" spans="2:75" s="93" customFormat="1" ht="25.5" customHeight="1">
      <c r="B51" s="84"/>
      <c r="C51" s="41"/>
      <c r="D51" s="36"/>
      <c r="E51" s="83"/>
      <c r="F51" s="36"/>
      <c r="G51" s="36"/>
      <c r="H51" s="87"/>
      <c r="I51" s="87"/>
      <c r="J51" s="41"/>
      <c r="K51" s="87"/>
      <c r="L51" s="87"/>
      <c r="M51" s="87"/>
      <c r="N51" s="87"/>
      <c r="O51" s="87"/>
      <c r="P51" s="87"/>
      <c r="Q51" s="87"/>
      <c r="R51" s="87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431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431"/>
      <c r="BL51" s="84"/>
      <c r="BM51" s="84"/>
      <c r="BN51" s="84"/>
      <c r="BO51" s="84"/>
      <c r="BP51" s="431"/>
      <c r="BQ51" s="84"/>
      <c r="BR51" s="84"/>
      <c r="BS51" s="84"/>
      <c r="BT51" s="84"/>
      <c r="BU51" s="84"/>
      <c r="BV51" s="83"/>
      <c r="BW51" s="36"/>
    </row>
    <row r="52" spans="2:75" s="93" customFormat="1" ht="25.5" customHeight="1">
      <c r="B52" s="84"/>
      <c r="C52" s="41"/>
      <c r="D52" s="36"/>
      <c r="E52" s="83"/>
      <c r="F52" s="36"/>
      <c r="G52" s="36"/>
      <c r="H52" s="87"/>
      <c r="I52" s="87"/>
      <c r="J52" s="41"/>
      <c r="K52" s="87"/>
      <c r="L52" s="87"/>
      <c r="M52" s="87"/>
      <c r="N52" s="87"/>
      <c r="O52" s="87"/>
      <c r="P52" s="87"/>
      <c r="Q52" s="87"/>
      <c r="R52" s="87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431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431"/>
      <c r="BL52" s="84"/>
      <c r="BM52" s="84"/>
      <c r="BN52" s="84"/>
      <c r="BO52" s="84"/>
      <c r="BP52" s="431"/>
      <c r="BQ52" s="84"/>
      <c r="BR52" s="84"/>
      <c r="BS52" s="84"/>
      <c r="BT52" s="84"/>
      <c r="BU52" s="84"/>
      <c r="BV52" s="83"/>
      <c r="BW52" s="36"/>
    </row>
    <row r="53" spans="2:75" s="93" customFormat="1" ht="25.5" customHeight="1">
      <c r="B53" s="84"/>
      <c r="C53" s="41"/>
      <c r="D53" s="36"/>
      <c r="E53" s="83"/>
      <c r="F53" s="36"/>
      <c r="G53" s="36"/>
      <c r="H53" s="87"/>
      <c r="I53" s="87"/>
      <c r="J53" s="41"/>
      <c r="K53" s="87"/>
      <c r="L53" s="87"/>
      <c r="M53" s="87"/>
      <c r="N53" s="87"/>
      <c r="O53" s="87"/>
      <c r="P53" s="87"/>
      <c r="Q53" s="87"/>
      <c r="R53" s="87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431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431"/>
      <c r="BL53" s="84"/>
      <c r="BM53" s="84"/>
      <c r="BN53" s="84"/>
      <c r="BO53" s="84"/>
      <c r="BP53" s="431"/>
      <c r="BQ53" s="84"/>
      <c r="BR53" s="84"/>
      <c r="BS53" s="84"/>
      <c r="BT53" s="84"/>
      <c r="BU53" s="84"/>
      <c r="BV53" s="83"/>
      <c r="BW53" s="36"/>
    </row>
    <row r="54" spans="2:75" s="93" customFormat="1" ht="25.5" customHeight="1">
      <c r="B54" s="84"/>
      <c r="C54" s="41"/>
      <c r="D54" s="36"/>
      <c r="E54" s="83"/>
      <c r="F54" s="36"/>
      <c r="G54" s="36"/>
      <c r="H54" s="87"/>
      <c r="I54" s="87"/>
      <c r="J54" s="41"/>
      <c r="K54" s="87"/>
      <c r="L54" s="87"/>
      <c r="M54" s="87"/>
      <c r="N54" s="87"/>
      <c r="O54" s="87"/>
      <c r="P54" s="87"/>
      <c r="Q54" s="87"/>
      <c r="R54" s="87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431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431"/>
      <c r="BL54" s="84"/>
      <c r="BM54" s="84"/>
      <c r="BN54" s="84"/>
      <c r="BO54" s="84"/>
      <c r="BP54" s="431"/>
      <c r="BQ54" s="84"/>
      <c r="BR54" s="84"/>
      <c r="BS54" s="84"/>
      <c r="BT54" s="84"/>
      <c r="BU54" s="84"/>
      <c r="BV54" s="83"/>
      <c r="BW54" s="36"/>
    </row>
    <row r="55" spans="2:75" s="93" customFormat="1" ht="25.5" customHeight="1">
      <c r="B55" s="84"/>
      <c r="C55" s="41"/>
      <c r="D55" s="36"/>
      <c r="E55" s="83"/>
      <c r="F55" s="36"/>
      <c r="G55" s="36"/>
      <c r="H55" s="87"/>
      <c r="I55" s="87"/>
      <c r="J55" s="41"/>
      <c r="K55" s="87"/>
      <c r="L55" s="87"/>
      <c r="M55" s="87"/>
      <c r="N55" s="87"/>
      <c r="O55" s="87"/>
      <c r="P55" s="87"/>
      <c r="Q55" s="87"/>
      <c r="R55" s="87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431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431"/>
      <c r="BL55" s="84"/>
      <c r="BM55" s="84"/>
      <c r="BN55" s="84"/>
      <c r="BO55" s="84"/>
      <c r="BP55" s="431"/>
      <c r="BQ55" s="84"/>
      <c r="BR55" s="84"/>
      <c r="BS55" s="84"/>
      <c r="BT55" s="84"/>
      <c r="BU55" s="84"/>
      <c r="BV55" s="83"/>
      <c r="BW55" s="36"/>
    </row>
    <row r="56" spans="2:75" s="93" customFormat="1" ht="25.5" customHeight="1">
      <c r="B56" s="84"/>
      <c r="C56" s="41"/>
      <c r="D56" s="36"/>
      <c r="E56" s="83"/>
      <c r="F56" s="36"/>
      <c r="G56" s="36"/>
      <c r="H56" s="87"/>
      <c r="I56" s="87"/>
      <c r="J56" s="41"/>
      <c r="K56" s="87"/>
      <c r="L56" s="87"/>
      <c r="M56" s="87"/>
      <c r="N56" s="87"/>
      <c r="O56" s="87"/>
      <c r="P56" s="87"/>
      <c r="Q56" s="87"/>
      <c r="R56" s="87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431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431"/>
      <c r="BL56" s="84"/>
      <c r="BM56" s="84"/>
      <c r="BN56" s="84"/>
      <c r="BO56" s="84"/>
      <c r="BP56" s="431"/>
      <c r="BQ56" s="84"/>
      <c r="BR56" s="84"/>
      <c r="BS56" s="84"/>
      <c r="BT56" s="84"/>
      <c r="BU56" s="84"/>
      <c r="BV56" s="83"/>
      <c r="BW56" s="36"/>
    </row>
    <row r="57" spans="2:75" s="93" customFormat="1" ht="25.5" customHeight="1">
      <c r="B57" s="84"/>
      <c r="C57" s="41"/>
      <c r="D57" s="36"/>
      <c r="E57" s="83"/>
      <c r="F57" s="36"/>
      <c r="G57" s="36"/>
      <c r="H57" s="87"/>
      <c r="I57" s="87"/>
      <c r="J57" s="41"/>
      <c r="K57" s="87"/>
      <c r="L57" s="87"/>
      <c r="M57" s="87"/>
      <c r="N57" s="87"/>
      <c r="O57" s="87"/>
      <c r="P57" s="87"/>
      <c r="Q57" s="87"/>
      <c r="R57" s="87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431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431"/>
      <c r="BL57" s="84"/>
      <c r="BM57" s="84"/>
      <c r="BN57" s="84"/>
      <c r="BO57" s="84"/>
      <c r="BP57" s="431"/>
      <c r="BQ57" s="84"/>
      <c r="BR57" s="84"/>
      <c r="BS57" s="84"/>
      <c r="BT57" s="84"/>
      <c r="BU57" s="84"/>
      <c r="BV57" s="83"/>
      <c r="BW57" s="36"/>
    </row>
    <row r="58" spans="2:75" s="93" customFormat="1" ht="25.5" customHeight="1">
      <c r="B58" s="84"/>
      <c r="C58" s="41"/>
      <c r="D58" s="36"/>
      <c r="E58" s="83"/>
      <c r="F58" s="36"/>
      <c r="G58" s="36"/>
      <c r="H58" s="87"/>
      <c r="I58" s="87"/>
      <c r="J58" s="41"/>
      <c r="K58" s="87"/>
      <c r="L58" s="87"/>
      <c r="M58" s="87"/>
      <c r="N58" s="87"/>
      <c r="O58" s="87"/>
      <c r="P58" s="87"/>
      <c r="Q58" s="87"/>
      <c r="R58" s="87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431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431"/>
      <c r="BL58" s="84"/>
      <c r="BM58" s="84"/>
      <c r="BN58" s="84"/>
      <c r="BO58" s="84"/>
      <c r="BP58" s="431"/>
      <c r="BQ58" s="84"/>
      <c r="BR58" s="84"/>
      <c r="BS58" s="84"/>
      <c r="BT58" s="84"/>
      <c r="BU58" s="84"/>
      <c r="BV58" s="83"/>
      <c r="BW58" s="36"/>
    </row>
    <row r="59" spans="2:75" s="93" customFormat="1" ht="25.5" customHeight="1">
      <c r="B59" s="84"/>
      <c r="C59" s="41"/>
      <c r="D59" s="36"/>
      <c r="E59" s="83"/>
      <c r="F59" s="36"/>
      <c r="G59" s="36"/>
      <c r="H59" s="87"/>
      <c r="I59" s="87"/>
      <c r="J59" s="41"/>
      <c r="K59" s="87"/>
      <c r="L59" s="87"/>
      <c r="M59" s="87"/>
      <c r="N59" s="87"/>
      <c r="O59" s="87"/>
      <c r="P59" s="87"/>
      <c r="Q59" s="87"/>
      <c r="R59" s="87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431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431"/>
      <c r="BL59" s="84"/>
      <c r="BM59" s="84"/>
      <c r="BN59" s="84"/>
      <c r="BO59" s="84"/>
      <c r="BP59" s="431"/>
      <c r="BQ59" s="84"/>
      <c r="BR59" s="84"/>
      <c r="BS59" s="84"/>
      <c r="BT59" s="84"/>
      <c r="BU59" s="84"/>
      <c r="BV59" s="83"/>
      <c r="BW59" s="36"/>
    </row>
    <row r="60" spans="2:75" s="93" customFormat="1" ht="25.5" customHeight="1">
      <c r="B60" s="84"/>
      <c r="C60" s="41"/>
      <c r="D60" s="36"/>
      <c r="E60" s="83"/>
      <c r="F60" s="36"/>
      <c r="G60" s="36"/>
      <c r="H60" s="87"/>
      <c r="I60" s="87"/>
      <c r="J60" s="41"/>
      <c r="K60" s="87"/>
      <c r="L60" s="87"/>
      <c r="M60" s="87"/>
      <c r="N60" s="87"/>
      <c r="O60" s="87"/>
      <c r="P60" s="87"/>
      <c r="Q60" s="87"/>
      <c r="R60" s="87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431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431"/>
      <c r="BL60" s="84"/>
      <c r="BM60" s="84"/>
      <c r="BN60" s="84"/>
      <c r="BO60" s="84"/>
      <c r="BP60" s="431"/>
      <c r="BQ60" s="84"/>
      <c r="BR60" s="84"/>
      <c r="BS60" s="84"/>
      <c r="BT60" s="84"/>
      <c r="BU60" s="84"/>
      <c r="BV60" s="83"/>
      <c r="BW60" s="36"/>
    </row>
    <row r="61" spans="2:75" s="93" customFormat="1" ht="25.5" customHeight="1">
      <c r="B61" s="84"/>
      <c r="C61" s="41"/>
      <c r="D61" s="36"/>
      <c r="E61" s="83"/>
      <c r="F61" s="36"/>
      <c r="G61" s="36"/>
      <c r="H61" s="87"/>
      <c r="I61" s="87"/>
      <c r="J61" s="41"/>
      <c r="K61" s="87"/>
      <c r="L61" s="87"/>
      <c r="M61" s="87"/>
      <c r="N61" s="87"/>
      <c r="O61" s="87"/>
      <c r="P61" s="87"/>
      <c r="Q61" s="87"/>
      <c r="R61" s="87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431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431"/>
      <c r="BL61" s="84"/>
      <c r="BM61" s="84"/>
      <c r="BN61" s="84"/>
      <c r="BO61" s="84"/>
      <c r="BP61" s="431"/>
      <c r="BQ61" s="84"/>
      <c r="BR61" s="84"/>
      <c r="BS61" s="84"/>
      <c r="BT61" s="84"/>
      <c r="BU61" s="84"/>
      <c r="BV61" s="83"/>
      <c r="BW61" s="36"/>
    </row>
    <row r="62" spans="2:75" s="93" customFormat="1" ht="25.5" customHeight="1">
      <c r="B62" s="84"/>
      <c r="C62" s="41"/>
      <c r="D62" s="36"/>
      <c r="E62" s="83"/>
      <c r="F62" s="36"/>
      <c r="G62" s="36"/>
      <c r="H62" s="87"/>
      <c r="I62" s="87"/>
      <c r="J62" s="41"/>
      <c r="K62" s="87"/>
      <c r="L62" s="87"/>
      <c r="M62" s="87"/>
      <c r="N62" s="87"/>
      <c r="O62" s="87"/>
      <c r="P62" s="87"/>
      <c r="Q62" s="87"/>
      <c r="R62" s="87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431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431"/>
      <c r="BL62" s="84"/>
      <c r="BM62" s="84"/>
      <c r="BN62" s="84"/>
      <c r="BO62" s="84"/>
      <c r="BP62" s="431"/>
      <c r="BQ62" s="84"/>
      <c r="BR62" s="84"/>
      <c r="BS62" s="84"/>
      <c r="BT62" s="84"/>
      <c r="BU62" s="84"/>
      <c r="BV62" s="83"/>
      <c r="BW62" s="36"/>
    </row>
    <row r="63" spans="2:75" s="93" customFormat="1" ht="25.5" customHeight="1">
      <c r="B63" s="84"/>
      <c r="C63" s="41"/>
      <c r="D63" s="36"/>
      <c r="E63" s="83"/>
      <c r="F63" s="36"/>
      <c r="G63" s="36"/>
      <c r="H63" s="87"/>
      <c r="I63" s="87"/>
      <c r="J63" s="41"/>
      <c r="K63" s="87"/>
      <c r="L63" s="87"/>
      <c r="M63" s="87"/>
      <c r="N63" s="87"/>
      <c r="O63" s="87"/>
      <c r="P63" s="87"/>
      <c r="Q63" s="87"/>
      <c r="R63" s="87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431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431"/>
      <c r="BL63" s="84"/>
      <c r="BM63" s="84"/>
      <c r="BN63" s="84"/>
      <c r="BO63" s="84"/>
      <c r="BP63" s="431"/>
      <c r="BQ63" s="84"/>
      <c r="BR63" s="84"/>
      <c r="BS63" s="84"/>
      <c r="BT63" s="84"/>
      <c r="BU63" s="84"/>
      <c r="BV63" s="83"/>
      <c r="BW63" s="36"/>
    </row>
    <row r="64" spans="2:75" s="93" customFormat="1" ht="25.5" customHeight="1">
      <c r="B64" s="84"/>
      <c r="C64" s="41"/>
      <c r="D64" s="36"/>
      <c r="E64" s="83"/>
      <c r="F64" s="36"/>
      <c r="G64" s="36"/>
      <c r="H64" s="87"/>
      <c r="I64" s="87"/>
      <c r="J64" s="41"/>
      <c r="K64" s="87"/>
      <c r="L64" s="87"/>
      <c r="M64" s="87"/>
      <c r="N64" s="87"/>
      <c r="O64" s="87"/>
      <c r="P64" s="87"/>
      <c r="Q64" s="87"/>
      <c r="R64" s="87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431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431"/>
      <c r="BL64" s="84"/>
      <c r="BM64" s="84"/>
      <c r="BN64" s="84"/>
      <c r="BO64" s="84"/>
      <c r="BP64" s="431"/>
      <c r="BQ64" s="84"/>
      <c r="BR64" s="84"/>
      <c r="BS64" s="84"/>
      <c r="BT64" s="84"/>
      <c r="BU64" s="84"/>
      <c r="BV64" s="83"/>
      <c r="BW64" s="36"/>
    </row>
    <row r="65" spans="2:75" s="93" customFormat="1" ht="25.5" customHeight="1">
      <c r="B65" s="84"/>
      <c r="C65" s="41"/>
      <c r="D65" s="36"/>
      <c r="E65" s="83"/>
      <c r="F65" s="36"/>
      <c r="G65" s="36"/>
      <c r="H65" s="87"/>
      <c r="I65" s="87"/>
      <c r="J65" s="41"/>
      <c r="K65" s="87"/>
      <c r="L65" s="87"/>
      <c r="M65" s="87"/>
      <c r="N65" s="87"/>
      <c r="O65" s="87"/>
      <c r="P65" s="87"/>
      <c r="Q65" s="87"/>
      <c r="R65" s="87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431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431"/>
      <c r="BL65" s="84"/>
      <c r="BM65" s="84"/>
      <c r="BN65" s="84"/>
      <c r="BO65" s="84"/>
      <c r="BP65" s="431"/>
      <c r="BQ65" s="84"/>
      <c r="BR65" s="84"/>
      <c r="BS65" s="84"/>
      <c r="BT65" s="84"/>
      <c r="BU65" s="84"/>
      <c r="BV65" s="83"/>
      <c r="BW65" s="36"/>
    </row>
    <row r="66" spans="2:75" s="93" customFormat="1" ht="25.5" customHeight="1">
      <c r="B66" s="84"/>
      <c r="C66" s="41"/>
      <c r="D66" s="36"/>
      <c r="E66" s="83"/>
      <c r="F66" s="36"/>
      <c r="G66" s="36"/>
      <c r="H66" s="87"/>
      <c r="I66" s="87"/>
      <c r="J66" s="41"/>
      <c r="K66" s="87"/>
      <c r="L66" s="87"/>
      <c r="M66" s="87"/>
      <c r="N66" s="87"/>
      <c r="O66" s="87"/>
      <c r="P66" s="87"/>
      <c r="Q66" s="87"/>
      <c r="R66" s="87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431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431"/>
      <c r="BL66" s="84"/>
      <c r="BM66" s="84"/>
      <c r="BN66" s="84"/>
      <c r="BO66" s="84"/>
      <c r="BP66" s="431"/>
      <c r="BQ66" s="84"/>
      <c r="BR66" s="84"/>
      <c r="BS66" s="84"/>
      <c r="BT66" s="84"/>
      <c r="BU66" s="84"/>
      <c r="BV66" s="83"/>
      <c r="BW66" s="36"/>
    </row>
    <row r="67" spans="2:75" s="93" customFormat="1" ht="25.5" customHeight="1">
      <c r="B67" s="84"/>
      <c r="C67" s="41"/>
      <c r="D67" s="36"/>
      <c r="E67" s="83"/>
      <c r="F67" s="36"/>
      <c r="G67" s="36"/>
      <c r="H67" s="87"/>
      <c r="I67" s="87"/>
      <c r="J67" s="41"/>
      <c r="K67" s="87"/>
      <c r="L67" s="87"/>
      <c r="M67" s="87"/>
      <c r="N67" s="87"/>
      <c r="O67" s="87"/>
      <c r="P67" s="87"/>
      <c r="Q67" s="87"/>
      <c r="R67" s="87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431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431"/>
      <c r="BL67" s="84"/>
      <c r="BM67" s="84"/>
      <c r="BN67" s="84"/>
      <c r="BO67" s="84"/>
      <c r="BP67" s="431"/>
      <c r="BQ67" s="84"/>
      <c r="BR67" s="84"/>
      <c r="BS67" s="84"/>
      <c r="BT67" s="84"/>
      <c r="BU67" s="84"/>
      <c r="BV67" s="83"/>
      <c r="BW67" s="36"/>
    </row>
    <row r="68" spans="2:75" s="93" customFormat="1" ht="25.5" customHeight="1">
      <c r="B68" s="84"/>
      <c r="C68" s="41"/>
      <c r="D68" s="36"/>
      <c r="E68" s="83"/>
      <c r="F68" s="36"/>
      <c r="G68" s="36"/>
      <c r="H68" s="87"/>
      <c r="I68" s="87"/>
      <c r="J68" s="41"/>
      <c r="K68" s="87"/>
      <c r="L68" s="87"/>
      <c r="M68" s="87"/>
      <c r="N68" s="87"/>
      <c r="O68" s="87"/>
      <c r="P68" s="87"/>
      <c r="Q68" s="87"/>
      <c r="R68" s="87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431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431"/>
      <c r="BL68" s="84"/>
      <c r="BM68" s="84"/>
      <c r="BN68" s="84"/>
      <c r="BO68" s="84"/>
      <c r="BP68" s="431"/>
      <c r="BQ68" s="84"/>
      <c r="BR68" s="84"/>
      <c r="BS68" s="84"/>
      <c r="BT68" s="84"/>
      <c r="BU68" s="84"/>
      <c r="BV68" s="83"/>
      <c r="BW68" s="36"/>
    </row>
    <row r="69" spans="2:75" s="93" customFormat="1" ht="25.5" customHeight="1">
      <c r="B69" s="84"/>
      <c r="C69" s="41"/>
      <c r="D69" s="36"/>
      <c r="E69" s="83"/>
      <c r="F69" s="36"/>
      <c r="G69" s="36"/>
      <c r="H69" s="87"/>
      <c r="I69" s="87"/>
      <c r="J69" s="41"/>
      <c r="K69" s="87"/>
      <c r="L69" s="87"/>
      <c r="M69" s="87"/>
      <c r="N69" s="87"/>
      <c r="O69" s="87"/>
      <c r="P69" s="87"/>
      <c r="Q69" s="87"/>
      <c r="R69" s="87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431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431"/>
      <c r="BL69" s="84"/>
      <c r="BM69" s="84"/>
      <c r="BN69" s="84"/>
      <c r="BO69" s="84"/>
      <c r="BP69" s="431"/>
      <c r="BQ69" s="84"/>
      <c r="BR69" s="84"/>
      <c r="BS69" s="84"/>
      <c r="BT69" s="84"/>
      <c r="BU69" s="84"/>
      <c r="BV69" s="83"/>
      <c r="BW69" s="36"/>
    </row>
    <row r="70" spans="2:75" s="93" customFormat="1" ht="25.5" customHeight="1">
      <c r="B70" s="84"/>
      <c r="C70" s="41"/>
      <c r="D70" s="36"/>
      <c r="E70" s="83"/>
      <c r="F70" s="36"/>
      <c r="G70" s="36"/>
      <c r="H70" s="87"/>
      <c r="I70" s="87"/>
      <c r="J70" s="41"/>
      <c r="K70" s="87"/>
      <c r="L70" s="87"/>
      <c r="M70" s="87"/>
      <c r="N70" s="87"/>
      <c r="O70" s="87"/>
      <c r="P70" s="87"/>
      <c r="Q70" s="87"/>
      <c r="R70" s="87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431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431"/>
      <c r="BL70" s="84"/>
      <c r="BM70" s="84"/>
      <c r="BN70" s="84"/>
      <c r="BO70" s="84"/>
      <c r="BP70" s="431"/>
      <c r="BQ70" s="84"/>
      <c r="BR70" s="84"/>
      <c r="BS70" s="84"/>
      <c r="BT70" s="84"/>
      <c r="BU70" s="84"/>
      <c r="BV70" s="83"/>
      <c r="BW70" s="36"/>
    </row>
  </sheetData>
  <sheetProtection/>
  <mergeCells count="4">
    <mergeCell ref="L24:N24"/>
    <mergeCell ref="K25:L25"/>
    <mergeCell ref="T25:U25"/>
    <mergeCell ref="BJ25:BK25"/>
  </mergeCells>
  <printOptions/>
  <pageMargins left="0.16" right="0.16" top="0.27" bottom="0.21" header="0.17" footer="0.17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34"/>
  <sheetViews>
    <sheetView tabSelected="1" zoomScalePageLayoutView="0" workbookViewId="0" topLeftCell="A1">
      <selection activeCell="BU1" sqref="BU1"/>
    </sheetView>
  </sheetViews>
  <sheetFormatPr defaultColWidth="9.00390625" defaultRowHeight="25.5" customHeight="1"/>
  <cols>
    <col min="1" max="1" width="2.875" style="1" customWidth="1"/>
    <col min="2" max="2" width="29.875" style="8" bestFit="1" customWidth="1"/>
    <col min="3" max="3" width="11.25390625" style="26" customWidth="1"/>
    <col min="4" max="4" width="9.125" style="2" hidden="1" customWidth="1"/>
    <col min="5" max="5" width="9.75390625" style="26" hidden="1" customWidth="1"/>
    <col min="6" max="6" width="9.875" style="2" hidden="1" customWidth="1"/>
    <col min="7" max="7" width="10.00390625" style="2" hidden="1" customWidth="1"/>
    <col min="8" max="8" width="9.125" style="2" hidden="1" customWidth="1"/>
    <col min="9" max="9" width="10.875" style="2" hidden="1" customWidth="1"/>
    <col min="10" max="10" width="9.125" style="2" hidden="1" customWidth="1"/>
    <col min="11" max="11" width="8.75390625" style="2" hidden="1" customWidth="1"/>
    <col min="12" max="12" width="9.125" style="69" hidden="1" customWidth="1"/>
    <col min="13" max="13" width="9.875" style="2" hidden="1" customWidth="1"/>
    <col min="14" max="14" width="8.625" style="2" hidden="1" customWidth="1"/>
    <col min="15" max="15" width="9.50390625" style="2" hidden="1" customWidth="1"/>
    <col min="16" max="16" width="9.875" style="2" hidden="1" customWidth="1"/>
    <col min="17" max="17" width="10.25390625" style="1" customWidth="1"/>
    <col min="18" max="18" width="10.375" style="28" hidden="1" customWidth="1"/>
    <col min="19" max="19" width="10.00390625" style="28" hidden="1" customWidth="1"/>
    <col min="20" max="20" width="8.125" style="28" hidden="1" customWidth="1"/>
    <col min="21" max="22" width="9.125" style="28" hidden="1" customWidth="1"/>
    <col min="23" max="23" width="10.375" style="28" hidden="1" customWidth="1"/>
    <col min="24" max="24" width="9.125" style="28" hidden="1" customWidth="1"/>
    <col min="25" max="25" width="10.00390625" style="28" hidden="1" customWidth="1"/>
    <col min="26" max="30" width="9.125" style="28" hidden="1" customWidth="1"/>
    <col min="31" max="31" width="9.625" style="28" customWidth="1"/>
    <col min="32" max="33" width="9.125" style="28" hidden="1" customWidth="1"/>
    <col min="34" max="34" width="8.25390625" style="28" hidden="1" customWidth="1"/>
    <col min="35" max="35" width="8.875" style="28" hidden="1" customWidth="1"/>
    <col min="36" max="36" width="9.25390625" style="28" hidden="1" customWidth="1"/>
    <col min="37" max="40" width="9.125" style="28" hidden="1" customWidth="1"/>
    <col min="41" max="41" width="10.00390625" style="28" customWidth="1"/>
    <col min="42" max="42" width="9.25390625" style="28" hidden="1" customWidth="1"/>
    <col min="43" max="43" width="7.875" style="28" hidden="1" customWidth="1"/>
    <col min="44" max="44" width="9.125" style="28" hidden="1" customWidth="1"/>
    <col min="45" max="45" width="8.625" style="28" hidden="1" customWidth="1"/>
    <col min="46" max="46" width="8.50390625" style="28" hidden="1" customWidth="1"/>
    <col min="47" max="51" width="9.125" style="28" hidden="1" customWidth="1"/>
    <col min="52" max="52" width="7.625" style="28" hidden="1" customWidth="1"/>
    <col min="53" max="53" width="9.50390625" style="28" hidden="1" customWidth="1"/>
    <col min="54" max="60" width="9.125" style="28" hidden="1" customWidth="1"/>
    <col min="61" max="61" width="10.125" style="28" hidden="1" customWidth="1"/>
    <col min="62" max="62" width="9.125" style="28" hidden="1" customWidth="1"/>
    <col min="63" max="63" width="7.75390625" style="28" hidden="1" customWidth="1"/>
    <col min="64" max="70" width="9.125" style="28" hidden="1" customWidth="1"/>
    <col min="71" max="71" width="9.875" style="28" bestFit="1" customWidth="1"/>
    <col min="72" max="72" width="12.125" style="98" customWidth="1"/>
    <col min="73" max="73" width="11.50390625" style="1" customWidth="1"/>
    <col min="74" max="74" width="9.25390625" style="1" hidden="1" customWidth="1"/>
    <col min="75" max="16384" width="9.00390625" style="1" customWidth="1"/>
  </cols>
  <sheetData>
    <row r="1" spans="1:73" s="3" customFormat="1" ht="31.5" customHeight="1">
      <c r="A1" s="12" t="s">
        <v>5</v>
      </c>
      <c r="B1" s="12"/>
      <c r="C1" s="25"/>
      <c r="D1" s="2"/>
      <c r="E1" s="26"/>
      <c r="F1" s="2"/>
      <c r="G1" s="2"/>
      <c r="H1" s="2"/>
      <c r="I1" s="2"/>
      <c r="J1" s="2"/>
      <c r="K1" s="2"/>
      <c r="L1" s="69"/>
      <c r="M1" s="2"/>
      <c r="N1" s="2"/>
      <c r="O1" s="2"/>
      <c r="P1" s="2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98"/>
      <c r="BU1" s="129" t="s">
        <v>34</v>
      </c>
    </row>
    <row r="2" ht="10.5" customHeight="1">
      <c r="A2" s="8"/>
    </row>
    <row r="3" spans="1:72" s="3" customFormat="1" ht="22.5" customHeight="1" thickBot="1">
      <c r="A3" s="12" t="s">
        <v>51</v>
      </c>
      <c r="C3" s="13"/>
      <c r="D3" s="2"/>
      <c r="E3" s="26"/>
      <c r="F3" s="2"/>
      <c r="G3" s="2"/>
      <c r="H3" s="2"/>
      <c r="I3" s="2"/>
      <c r="J3" s="2"/>
      <c r="K3" s="2"/>
      <c r="L3" s="69"/>
      <c r="M3" s="2"/>
      <c r="N3" s="2"/>
      <c r="O3" s="2"/>
      <c r="P3" s="2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143"/>
    </row>
    <row r="4" spans="1:74" s="9" customFormat="1" ht="57.75" customHeight="1" thickBot="1">
      <c r="A4" s="88" t="s">
        <v>9</v>
      </c>
      <c r="B4" s="89" t="s">
        <v>0</v>
      </c>
      <c r="C4" s="158" t="s">
        <v>43</v>
      </c>
      <c r="D4" s="18" t="s">
        <v>44</v>
      </c>
      <c r="E4" s="37" t="s">
        <v>17</v>
      </c>
      <c r="F4" s="70" t="s">
        <v>45</v>
      </c>
      <c r="G4" s="122" t="s">
        <v>32</v>
      </c>
      <c r="H4" s="18" t="s">
        <v>46</v>
      </c>
      <c r="I4" s="123" t="s">
        <v>47</v>
      </c>
      <c r="J4" s="125" t="s">
        <v>48</v>
      </c>
      <c r="K4" s="37" t="s">
        <v>18</v>
      </c>
      <c r="L4" s="70" t="s">
        <v>62</v>
      </c>
      <c r="M4" s="19" t="s">
        <v>63</v>
      </c>
      <c r="N4" s="18"/>
      <c r="O4" s="37" t="s">
        <v>31</v>
      </c>
      <c r="P4" s="70" t="s">
        <v>64</v>
      </c>
      <c r="Q4" s="171" t="s">
        <v>81</v>
      </c>
      <c r="R4" s="262" t="s">
        <v>65</v>
      </c>
      <c r="S4" s="37" t="s">
        <v>71</v>
      </c>
      <c r="T4" s="70" t="s">
        <v>72</v>
      </c>
      <c r="U4" s="315" t="s">
        <v>89</v>
      </c>
      <c r="V4" s="123" t="s">
        <v>90</v>
      </c>
      <c r="W4" s="277" t="s">
        <v>73</v>
      </c>
      <c r="X4" s="262" t="s">
        <v>67</v>
      </c>
      <c r="Y4" s="319" t="s">
        <v>91</v>
      </c>
      <c r="Z4" s="37" t="s">
        <v>94</v>
      </c>
      <c r="AA4" s="70" t="s">
        <v>95</v>
      </c>
      <c r="AB4" s="262" t="s">
        <v>68</v>
      </c>
      <c r="AC4" s="37" t="s">
        <v>98</v>
      </c>
      <c r="AD4" s="70" t="s">
        <v>99</v>
      </c>
      <c r="AE4" s="299" t="s">
        <v>106</v>
      </c>
      <c r="AF4" s="300" t="s">
        <v>75</v>
      </c>
      <c r="AG4" s="37" t="s">
        <v>102</v>
      </c>
      <c r="AH4" s="70" t="s">
        <v>103</v>
      </c>
      <c r="AI4" s="300" t="s">
        <v>74</v>
      </c>
      <c r="AJ4" s="37" t="s">
        <v>108</v>
      </c>
      <c r="AK4" s="70" t="s">
        <v>109</v>
      </c>
      <c r="AL4" s="300" t="s">
        <v>76</v>
      </c>
      <c r="AM4" s="37" t="s">
        <v>120</v>
      </c>
      <c r="AN4" s="70" t="s">
        <v>121</v>
      </c>
      <c r="AO4" s="299" t="s">
        <v>123</v>
      </c>
      <c r="AP4" s="408" t="s">
        <v>130</v>
      </c>
      <c r="AQ4" s="410" t="s">
        <v>127</v>
      </c>
      <c r="AR4" s="252" t="s">
        <v>112</v>
      </c>
      <c r="AS4" s="300" t="s">
        <v>77</v>
      </c>
      <c r="AT4" s="370" t="s">
        <v>113</v>
      </c>
      <c r="AU4" s="372" t="s">
        <v>114</v>
      </c>
      <c r="AV4" s="412" t="s">
        <v>131</v>
      </c>
      <c r="AW4" s="37" t="s">
        <v>132</v>
      </c>
      <c r="AX4" s="70" t="s">
        <v>133</v>
      </c>
      <c r="AY4" s="408" t="s">
        <v>135</v>
      </c>
      <c r="AZ4" s="439" t="s">
        <v>136</v>
      </c>
      <c r="BA4" s="300" t="s">
        <v>78</v>
      </c>
      <c r="BB4" s="370" t="s">
        <v>113</v>
      </c>
      <c r="BC4" s="123" t="s">
        <v>115</v>
      </c>
      <c r="BD4" s="412" t="s">
        <v>137</v>
      </c>
      <c r="BE4" s="449" t="s">
        <v>138</v>
      </c>
      <c r="BF4" s="451" t="s">
        <v>139</v>
      </c>
      <c r="BG4" s="452" t="s">
        <v>140</v>
      </c>
      <c r="BH4" s="460" t="s">
        <v>141</v>
      </c>
      <c r="BI4" s="37" t="s">
        <v>144</v>
      </c>
      <c r="BJ4" s="70" t="s">
        <v>149</v>
      </c>
      <c r="BK4" s="300" t="s">
        <v>79</v>
      </c>
      <c r="BL4" s="370" t="s">
        <v>113</v>
      </c>
      <c r="BM4" s="123" t="s">
        <v>143</v>
      </c>
      <c r="BN4" s="340" t="s">
        <v>150</v>
      </c>
      <c r="BO4" s="460" t="s">
        <v>142</v>
      </c>
      <c r="BP4" s="37" t="s">
        <v>153</v>
      </c>
      <c r="BQ4" s="70" t="s">
        <v>154</v>
      </c>
      <c r="BR4" s="340" t="s">
        <v>155</v>
      </c>
      <c r="BS4" s="299" t="s">
        <v>157</v>
      </c>
      <c r="BT4" s="202" t="s">
        <v>116</v>
      </c>
      <c r="BU4" s="480" t="s">
        <v>158</v>
      </c>
      <c r="BV4" s="89" t="s">
        <v>97</v>
      </c>
    </row>
    <row r="5" spans="1:74" s="5" customFormat="1" ht="25.5" customHeight="1">
      <c r="A5" s="51">
        <v>1</v>
      </c>
      <c r="B5" s="90" t="s">
        <v>25</v>
      </c>
      <c r="C5" s="159">
        <v>574825.8</v>
      </c>
      <c r="D5" s="24">
        <f>48178.33+5727.72</f>
        <v>53906.05</v>
      </c>
      <c r="E5" s="94">
        <v>54614.8</v>
      </c>
      <c r="F5" s="182">
        <f aca="true" t="shared" si="0" ref="F5:F11">D5-E5</f>
        <v>-708.75</v>
      </c>
      <c r="G5" s="23">
        <f>(C5+E5)/13</f>
        <v>48418.5076923077</v>
      </c>
      <c r="H5" s="24">
        <f>48201.33-5727.72</f>
        <v>42473.61</v>
      </c>
      <c r="I5" s="23">
        <f>G5*G16/100</f>
        <v>1292.1652233507587</v>
      </c>
      <c r="J5" s="137">
        <f>H5+I5+4490</f>
        <v>48255.775223350756</v>
      </c>
      <c r="K5" s="38">
        <v>49085.22</v>
      </c>
      <c r="L5" s="182">
        <f aca="true" t="shared" si="1" ref="L5:L11">J5-K5</f>
        <v>-829.4447766492449</v>
      </c>
      <c r="M5" s="24">
        <f>48201.33-4490</f>
        <v>43711.33</v>
      </c>
      <c r="N5" s="23"/>
      <c r="O5" s="38">
        <v>43709.6</v>
      </c>
      <c r="P5" s="23">
        <f aca="true" t="shared" si="2" ref="P5:P11">M5-O5</f>
        <v>1.7300000000032014</v>
      </c>
      <c r="Q5" s="172">
        <f aca="true" t="shared" si="3" ref="Q5:Q11">E5+K5+O5</f>
        <v>147409.62</v>
      </c>
      <c r="R5" s="257">
        <f>48822.11+4633.13</f>
        <v>53455.24</v>
      </c>
      <c r="S5" s="276">
        <v>53652.1</v>
      </c>
      <c r="T5" s="296">
        <f aca="true" t="shared" si="4" ref="T5:T11">R5-S5</f>
        <v>-196.86000000000058</v>
      </c>
      <c r="U5" s="287">
        <f>(C5+Q5+S5)/16</f>
        <v>48492.97</v>
      </c>
      <c r="V5" s="223">
        <f>U5*V16/100</f>
        <v>0</v>
      </c>
      <c r="W5" s="286">
        <v>319516.14</v>
      </c>
      <c r="X5" s="287">
        <f>48000-4633.13</f>
        <v>43366.87</v>
      </c>
      <c r="Y5" s="320">
        <f>V5+X5+4909.13</f>
        <v>48276</v>
      </c>
      <c r="Z5" s="330">
        <v>48901.99</v>
      </c>
      <c r="AA5" s="296">
        <f aca="true" t="shared" si="5" ref="AA5:AA11">Y5-Z5</f>
        <v>-625.989999999998</v>
      </c>
      <c r="AB5" s="287">
        <f>48000-4909.13</f>
        <v>43090.87</v>
      </c>
      <c r="AC5" s="330">
        <v>43459.56</v>
      </c>
      <c r="AD5" s="296">
        <f aca="true" t="shared" si="6" ref="AD5:AD11">AB5-AC5</f>
        <v>-368.68999999999505</v>
      </c>
      <c r="AE5" s="301">
        <f aca="true" t="shared" si="7" ref="AE5:AE11">S5+Z5+AC5</f>
        <v>146013.65</v>
      </c>
      <c r="AF5" s="287">
        <f>48000+4573.76</f>
        <v>52573.76</v>
      </c>
      <c r="AG5" s="330">
        <v>52761</v>
      </c>
      <c r="AH5" s="296">
        <f aca="true" t="shared" si="8" ref="AH5:AH11">AF5-AG5</f>
        <v>-187.23999999999796</v>
      </c>
      <c r="AI5" s="287">
        <f>48000-4573.76+4099.73</f>
        <v>47525.97</v>
      </c>
      <c r="AJ5" s="330">
        <v>47804.35</v>
      </c>
      <c r="AK5" s="296">
        <f aca="true" t="shared" si="9" ref="AK5:AK11">AI5-AJ5</f>
        <v>-278.3799999999974</v>
      </c>
      <c r="AL5" s="287">
        <f>48000-4099.73</f>
        <v>43900.270000000004</v>
      </c>
      <c r="AM5" s="330">
        <v>42159.27</v>
      </c>
      <c r="AN5" s="287">
        <f aca="true" t="shared" si="10" ref="AN5:AN11">AL5-AM5</f>
        <v>1741.0000000000073</v>
      </c>
      <c r="AO5" s="301">
        <f aca="true" t="shared" si="11" ref="AO5:AO11">AG5+AJ5+AM5</f>
        <v>142724.62</v>
      </c>
      <c r="AP5" s="223"/>
      <c r="AQ5" s="223"/>
      <c r="AR5" s="286">
        <v>76617.43</v>
      </c>
      <c r="AS5" s="287">
        <v>48000</v>
      </c>
      <c r="AT5" s="371">
        <v>12000</v>
      </c>
      <c r="AU5" s="373">
        <f>AS5+AT5</f>
        <v>60000</v>
      </c>
      <c r="AV5" s="287">
        <f>AQ5+AU5+5788.24</f>
        <v>65788.24</v>
      </c>
      <c r="AW5" s="330">
        <v>66369.89</v>
      </c>
      <c r="AX5" s="296">
        <f>AW5-AV5</f>
        <v>581.6499999999942</v>
      </c>
      <c r="AY5" s="287">
        <f>(Q5+AE5+AO5+AW5)/10</f>
        <v>50251.778000000006</v>
      </c>
      <c r="AZ5" s="286">
        <f>AY5*AZ16/100</f>
        <v>730.7014406542825</v>
      </c>
      <c r="BA5" s="287">
        <v>31516.14</v>
      </c>
      <c r="BB5" s="371">
        <v>28484</v>
      </c>
      <c r="BC5" s="223">
        <f>BA5+BB5-5788.24</f>
        <v>54211.9</v>
      </c>
      <c r="BD5" s="223">
        <f aca="true" t="shared" si="12" ref="BD5:BD11">AZ5+BC5</f>
        <v>54942.60144065428</v>
      </c>
      <c r="BE5" s="275">
        <v>29713.78</v>
      </c>
      <c r="BF5" s="223">
        <v>15000</v>
      </c>
      <c r="BG5" s="223">
        <f>BE5-BF5</f>
        <v>14713.779999999999</v>
      </c>
      <c r="BH5" s="461">
        <f aca="true" t="shared" si="13" ref="BH5:BH11">BD5+BF5</f>
        <v>69942.60144065428</v>
      </c>
      <c r="BI5" s="330">
        <v>74185.63</v>
      </c>
      <c r="BJ5" s="287">
        <f aca="true" t="shared" si="14" ref="BJ5:BJ11">BI5-BH5</f>
        <v>4243.028559345723</v>
      </c>
      <c r="BK5" s="287">
        <v>0</v>
      </c>
      <c r="BL5" s="371">
        <f aca="true" t="shared" si="15" ref="BL5:BL11">AR5-AT5-BB5</f>
        <v>36133.42999999999</v>
      </c>
      <c r="BM5" s="223">
        <f aca="true" t="shared" si="16" ref="BM5:BM11">BK5+BL5</f>
        <v>36133.42999999999</v>
      </c>
      <c r="BN5" s="296">
        <v>1091.49</v>
      </c>
      <c r="BO5" s="495">
        <f>BG5+BM5-20451.7</f>
        <v>30395.50999999999</v>
      </c>
      <c r="BP5" s="508">
        <v>30395.51</v>
      </c>
      <c r="BQ5" s="504">
        <f aca="true" t="shared" si="17" ref="BQ5:BQ11">BO5-BP5</f>
        <v>0</v>
      </c>
      <c r="BR5" s="504"/>
      <c r="BS5" s="301">
        <f>AW5+BI5+BP5</f>
        <v>170951.03000000003</v>
      </c>
      <c r="BT5" s="476">
        <f aca="true" t="shared" si="18" ref="BT5:BT11">Q5+AE5+AO5+BS5</f>
        <v>607098.92</v>
      </c>
      <c r="BU5" s="135">
        <f>Q5+AE5+AO5+AW5+BI5+BP5</f>
        <v>607098.92</v>
      </c>
      <c r="BV5" s="477"/>
    </row>
    <row r="6" spans="1:74" s="5" customFormat="1" ht="23.25" customHeight="1">
      <c r="A6" s="51">
        <v>2</v>
      </c>
      <c r="B6" s="90" t="s">
        <v>26</v>
      </c>
      <c r="C6" s="159">
        <v>426803.37</v>
      </c>
      <c r="D6" s="24">
        <v>37499.24</v>
      </c>
      <c r="E6" s="94">
        <v>32364.29</v>
      </c>
      <c r="F6" s="23">
        <f t="shared" si="0"/>
        <v>5134.949999999997</v>
      </c>
      <c r="G6" s="23"/>
      <c r="H6" s="24">
        <v>37048.18</v>
      </c>
      <c r="I6" s="23">
        <v>0</v>
      </c>
      <c r="J6" s="137">
        <f>H6+I6</f>
        <v>37048.18</v>
      </c>
      <c r="K6" s="38">
        <v>37222.53</v>
      </c>
      <c r="L6" s="182">
        <f t="shared" si="1"/>
        <v>-174.34999999999854</v>
      </c>
      <c r="M6" s="24">
        <v>37048.18</v>
      </c>
      <c r="N6" s="23"/>
      <c r="O6" s="38">
        <v>37199.5</v>
      </c>
      <c r="P6" s="182">
        <f t="shared" si="2"/>
        <v>-151.3199999999997</v>
      </c>
      <c r="Q6" s="172">
        <f t="shared" si="3"/>
        <v>106786.32</v>
      </c>
      <c r="R6" s="257">
        <v>36735.92</v>
      </c>
      <c r="S6" s="276">
        <v>35753.71</v>
      </c>
      <c r="T6" s="223">
        <f t="shared" si="4"/>
        <v>982.2099999999991</v>
      </c>
      <c r="U6" s="287"/>
      <c r="V6" s="223">
        <v>0</v>
      </c>
      <c r="W6" s="286">
        <v>233683.13</v>
      </c>
      <c r="X6" s="287">
        <v>35000</v>
      </c>
      <c r="Y6" s="320">
        <f>V6+X6+227.67</f>
        <v>35227.67</v>
      </c>
      <c r="Z6" s="330">
        <v>35445.22</v>
      </c>
      <c r="AA6" s="296">
        <f t="shared" si="5"/>
        <v>-217.5500000000029</v>
      </c>
      <c r="AB6" s="287">
        <f>35000-227.67</f>
        <v>34772.33</v>
      </c>
      <c r="AC6" s="330">
        <v>34771.13</v>
      </c>
      <c r="AD6" s="287">
        <f t="shared" si="6"/>
        <v>1.2000000000043656</v>
      </c>
      <c r="AE6" s="301">
        <f t="shared" si="7"/>
        <v>105970.06</v>
      </c>
      <c r="AF6" s="287">
        <f>35000+149.84</f>
        <v>35149.84</v>
      </c>
      <c r="AG6" s="330">
        <v>35211.19</v>
      </c>
      <c r="AH6" s="296">
        <f t="shared" si="8"/>
        <v>-61.35000000000582</v>
      </c>
      <c r="AI6" s="287">
        <f>35000-149.84</f>
        <v>34850.16</v>
      </c>
      <c r="AJ6" s="330">
        <v>34744.57</v>
      </c>
      <c r="AK6" s="287">
        <f t="shared" si="9"/>
        <v>105.59000000000378</v>
      </c>
      <c r="AL6" s="287">
        <v>35000</v>
      </c>
      <c r="AM6" s="330">
        <v>34912.91</v>
      </c>
      <c r="AN6" s="287">
        <f t="shared" si="10"/>
        <v>87.08999999999651</v>
      </c>
      <c r="AO6" s="301">
        <f t="shared" si="11"/>
        <v>104868.67000000001</v>
      </c>
      <c r="AP6" s="223"/>
      <c r="AQ6" s="223"/>
      <c r="AR6" s="286">
        <v>55258.73</v>
      </c>
      <c r="AS6" s="287">
        <v>35000</v>
      </c>
      <c r="AT6" s="371">
        <v>5000</v>
      </c>
      <c r="AU6" s="373">
        <f>AS6+AT6</f>
        <v>40000</v>
      </c>
      <c r="AV6" s="287">
        <f>AQ6+AU6</f>
        <v>40000</v>
      </c>
      <c r="AW6" s="330">
        <v>35285.77</v>
      </c>
      <c r="AX6" s="287">
        <f>AV6-AW6</f>
        <v>4714.230000000003</v>
      </c>
      <c r="AY6" s="287"/>
      <c r="AZ6" s="286">
        <v>0</v>
      </c>
      <c r="BA6" s="287">
        <v>23683.13</v>
      </c>
      <c r="BB6" s="371">
        <v>16317</v>
      </c>
      <c r="BC6" s="223">
        <f>BA6+BB6</f>
        <v>40000.130000000005</v>
      </c>
      <c r="BD6" s="223">
        <f t="shared" si="12"/>
        <v>40000.130000000005</v>
      </c>
      <c r="BE6" s="257">
        <v>0</v>
      </c>
      <c r="BF6" s="223">
        <v>0</v>
      </c>
      <c r="BG6" s="223">
        <v>0</v>
      </c>
      <c r="BH6" s="461">
        <f t="shared" si="13"/>
        <v>40000.130000000005</v>
      </c>
      <c r="BI6" s="330">
        <v>3293.13</v>
      </c>
      <c r="BJ6" s="287">
        <f t="shared" si="14"/>
        <v>-36707.00000000001</v>
      </c>
      <c r="BK6" s="287">
        <v>0</v>
      </c>
      <c r="BL6" s="371">
        <f t="shared" si="15"/>
        <v>33941.73</v>
      </c>
      <c r="BM6" s="223">
        <f t="shared" si="16"/>
        <v>33941.73</v>
      </c>
      <c r="BN6" s="223"/>
      <c r="BO6" s="507">
        <f>BG6+BM6</f>
        <v>33941.73</v>
      </c>
      <c r="BP6" s="508"/>
      <c r="BQ6" s="504">
        <f t="shared" si="17"/>
        <v>33941.73</v>
      </c>
      <c r="BR6" s="504"/>
      <c r="BS6" s="301">
        <f>AW6+BI6+BP6</f>
        <v>38578.899999999994</v>
      </c>
      <c r="BT6" s="476">
        <f t="shared" si="18"/>
        <v>356203.95000000007</v>
      </c>
      <c r="BU6" s="136">
        <f>Q6+AE6+AO6+AW6+BI6+BP6</f>
        <v>356203.95000000007</v>
      </c>
      <c r="BV6" s="478"/>
    </row>
    <row r="7" spans="1:74" s="5" customFormat="1" ht="22.5" customHeight="1">
      <c r="A7" s="51">
        <v>3</v>
      </c>
      <c r="B7" s="90" t="s">
        <v>27</v>
      </c>
      <c r="C7" s="159">
        <v>335586.98</v>
      </c>
      <c r="D7" s="24">
        <f>26223.52+2540.95</f>
        <v>28764.47</v>
      </c>
      <c r="E7" s="94">
        <v>30266.38</v>
      </c>
      <c r="F7" s="182">
        <f t="shared" si="0"/>
        <v>-1501.9099999999999</v>
      </c>
      <c r="G7" s="23">
        <f>(C7+E7)/13</f>
        <v>28142.566153846154</v>
      </c>
      <c r="H7" s="24">
        <f>26236.82-2540.95</f>
        <v>23695.87</v>
      </c>
      <c r="I7" s="23">
        <f>G7*G16/100</f>
        <v>751.0525832588896</v>
      </c>
      <c r="J7" s="137">
        <f>H7+I7+2406.24</f>
        <v>26853.16258325889</v>
      </c>
      <c r="K7" s="38">
        <v>29872.08</v>
      </c>
      <c r="L7" s="182">
        <f t="shared" si="1"/>
        <v>-3018.917416741111</v>
      </c>
      <c r="M7" s="24">
        <f>26236.82-2406.24</f>
        <v>23830.58</v>
      </c>
      <c r="N7" s="23"/>
      <c r="O7" s="38">
        <v>28811.09</v>
      </c>
      <c r="P7" s="182">
        <f t="shared" si="2"/>
        <v>-4980.509999999998</v>
      </c>
      <c r="Q7" s="172">
        <f t="shared" si="3"/>
        <v>88949.55</v>
      </c>
      <c r="R7" s="257">
        <f>26578.76+2753.07</f>
        <v>29331.829999999998</v>
      </c>
      <c r="S7" s="276">
        <v>29331.83</v>
      </c>
      <c r="T7" s="223">
        <f t="shared" si="4"/>
        <v>0</v>
      </c>
      <c r="U7" s="287">
        <f>(C7+Q7+S7)/16</f>
        <v>28366.7725</v>
      </c>
      <c r="V7" s="223">
        <f>U7*V16/100</f>
        <v>0</v>
      </c>
      <c r="W7" s="286">
        <v>174759.34</v>
      </c>
      <c r="X7" s="287">
        <f>26000-2753.07</f>
        <v>23246.93</v>
      </c>
      <c r="Y7" s="320">
        <f>V7+X7+2305.07</f>
        <v>25552</v>
      </c>
      <c r="Z7" s="330">
        <v>28469.02</v>
      </c>
      <c r="AA7" s="296">
        <f t="shared" si="5"/>
        <v>-2917.0200000000004</v>
      </c>
      <c r="AB7" s="287">
        <f>26000-2305.07</f>
        <v>23694.93</v>
      </c>
      <c r="AC7" s="330">
        <v>24619.66</v>
      </c>
      <c r="AD7" s="296">
        <f t="shared" si="6"/>
        <v>-924.7299999999996</v>
      </c>
      <c r="AE7" s="301">
        <f t="shared" si="7"/>
        <v>82420.51000000001</v>
      </c>
      <c r="AF7" s="287">
        <f>26000+2271.65</f>
        <v>28271.65</v>
      </c>
      <c r="AG7" s="330">
        <v>29076.51</v>
      </c>
      <c r="AH7" s="296">
        <f t="shared" si="8"/>
        <v>-804.859999999997</v>
      </c>
      <c r="AI7" s="287">
        <f>26000-2271.65+2297.33</f>
        <v>26025.68</v>
      </c>
      <c r="AJ7" s="330">
        <v>27912.67</v>
      </c>
      <c r="AK7" s="296">
        <f t="shared" si="9"/>
        <v>-1886.989999999998</v>
      </c>
      <c r="AL7" s="287">
        <f>26000-2297.33</f>
        <v>23702.67</v>
      </c>
      <c r="AM7" s="330">
        <v>26070.96</v>
      </c>
      <c r="AN7" s="296">
        <f t="shared" si="10"/>
        <v>-2368.290000000001</v>
      </c>
      <c r="AO7" s="301">
        <f t="shared" si="11"/>
        <v>83060.13999999998</v>
      </c>
      <c r="AP7" s="287">
        <f>(Q7+AE7+AO7)/9</f>
        <v>28270.022222222222</v>
      </c>
      <c r="AQ7" s="223">
        <f>AP7*AP17/100</f>
        <v>202.75250978250608</v>
      </c>
      <c r="AR7" s="286">
        <v>40870.39</v>
      </c>
      <c r="AS7" s="287">
        <v>26000</v>
      </c>
      <c r="AT7" s="371">
        <v>5000</v>
      </c>
      <c r="AU7" s="373">
        <f>AS7+AT7</f>
        <v>31000</v>
      </c>
      <c r="AV7" s="287">
        <f>AQ7+AU7+3064.03</f>
        <v>34266.782509782504</v>
      </c>
      <c r="AW7" s="330">
        <v>35967.66</v>
      </c>
      <c r="AX7" s="296">
        <f>AW7-AV7</f>
        <v>1700.8774902174991</v>
      </c>
      <c r="AY7" s="287">
        <f>(Q7+AE7+AO7+AW7)/10</f>
        <v>29039.786</v>
      </c>
      <c r="AZ7" s="286">
        <f>AY7*AZ16/100</f>
        <v>422.2619439752373</v>
      </c>
      <c r="BA7" s="287">
        <v>18759.34</v>
      </c>
      <c r="BB7" s="371">
        <v>15000</v>
      </c>
      <c r="BC7" s="223">
        <f>BA7+BB7-3064.03</f>
        <v>30695.309999999998</v>
      </c>
      <c r="BD7" s="223">
        <f t="shared" si="12"/>
        <v>31117.571943975236</v>
      </c>
      <c r="BE7" s="275">
        <v>15859.61</v>
      </c>
      <c r="BF7" s="223">
        <v>10000</v>
      </c>
      <c r="BG7" s="223">
        <f>BE7-BF7</f>
        <v>5859.610000000001</v>
      </c>
      <c r="BH7" s="461">
        <f t="shared" si="13"/>
        <v>41117.571943975236</v>
      </c>
      <c r="BI7" s="330">
        <v>47174.44</v>
      </c>
      <c r="BJ7" s="287">
        <f t="shared" si="14"/>
        <v>6056.868056024767</v>
      </c>
      <c r="BK7" s="287">
        <v>0</v>
      </c>
      <c r="BL7" s="371">
        <f t="shared" si="15"/>
        <v>20870.39</v>
      </c>
      <c r="BM7" s="223">
        <f t="shared" si="16"/>
        <v>20870.39</v>
      </c>
      <c r="BN7" s="296">
        <f>247.45+1003.89</f>
        <v>1251.34</v>
      </c>
      <c r="BO7" s="495">
        <f>BG7+BM7+100495.89</f>
        <v>127225.89</v>
      </c>
      <c r="BP7" s="508">
        <v>127225.89</v>
      </c>
      <c r="BQ7" s="504">
        <f t="shared" si="17"/>
        <v>0</v>
      </c>
      <c r="BR7" s="510">
        <v>1464.71</v>
      </c>
      <c r="BS7" s="301">
        <f>AW7+BI7+BP7</f>
        <v>210367.99</v>
      </c>
      <c r="BT7" s="476">
        <f t="shared" si="18"/>
        <v>464798.18999999994</v>
      </c>
      <c r="BU7" s="136">
        <f aca="true" t="shared" si="19" ref="BU7:BU13">Q7+AE7+AO7+AW7+BI7+BP7</f>
        <v>464798.19</v>
      </c>
      <c r="BV7" s="478"/>
    </row>
    <row r="8" spans="1:74" s="5" customFormat="1" ht="22.5" customHeight="1">
      <c r="A8" s="51">
        <v>4</v>
      </c>
      <c r="B8" s="90" t="s">
        <v>28</v>
      </c>
      <c r="C8" s="159">
        <v>588158.09</v>
      </c>
      <c r="D8" s="24">
        <f>28012.74+264.52</f>
        <v>28277.260000000002</v>
      </c>
      <c r="E8" s="94">
        <v>63506.74</v>
      </c>
      <c r="F8" s="182">
        <f t="shared" si="0"/>
        <v>-35229.479999999996</v>
      </c>
      <c r="G8" s="23">
        <f>(C8+E8)/13</f>
        <v>50128.06384615384</v>
      </c>
      <c r="H8" s="24">
        <f>28026.9-264.52</f>
        <v>27762.38</v>
      </c>
      <c r="I8" s="23">
        <f>G8*G16/100</f>
        <v>1337.7888725429914</v>
      </c>
      <c r="J8" s="137">
        <f>H8+I8</f>
        <v>29100.168872542992</v>
      </c>
      <c r="K8" s="38">
        <v>67292.77</v>
      </c>
      <c r="L8" s="182">
        <f t="shared" si="1"/>
        <v>-38192.60112745701</v>
      </c>
      <c r="M8" s="24">
        <f>28026.9+177.94</f>
        <v>28204.84</v>
      </c>
      <c r="N8" s="23"/>
      <c r="O8" s="38">
        <v>76347.19</v>
      </c>
      <c r="P8" s="182">
        <f t="shared" si="2"/>
        <v>-48142.350000000006</v>
      </c>
      <c r="Q8" s="172">
        <f t="shared" si="3"/>
        <v>207146.7</v>
      </c>
      <c r="R8" s="257">
        <f>28391.85-177.94</f>
        <v>28213.91</v>
      </c>
      <c r="S8" s="276">
        <v>39292.43</v>
      </c>
      <c r="T8" s="296">
        <f t="shared" si="4"/>
        <v>-11078.52</v>
      </c>
      <c r="U8" s="287">
        <f>(C8+Q8+S8)/16</f>
        <v>52162.326250000006</v>
      </c>
      <c r="V8" s="223">
        <f>U8*V16/100</f>
        <v>0</v>
      </c>
      <c r="W8" s="286">
        <v>185025.58</v>
      </c>
      <c r="X8" s="287">
        <v>28000</v>
      </c>
      <c r="Y8" s="320">
        <f>V8+X8</f>
        <v>28000</v>
      </c>
      <c r="Z8" s="330">
        <v>77959.78</v>
      </c>
      <c r="AA8" s="296">
        <f t="shared" si="5"/>
        <v>-49959.78</v>
      </c>
      <c r="AB8" s="287">
        <v>28000</v>
      </c>
      <c r="AC8" s="330">
        <v>65373.36</v>
      </c>
      <c r="AD8" s="296">
        <f t="shared" si="6"/>
        <v>-37373.36</v>
      </c>
      <c r="AE8" s="301">
        <f t="shared" si="7"/>
        <v>182625.57</v>
      </c>
      <c r="AF8" s="287">
        <f>28000+360.52</f>
        <v>28360.52</v>
      </c>
      <c r="AG8" s="330">
        <v>66645.11</v>
      </c>
      <c r="AH8" s="296">
        <f t="shared" si="8"/>
        <v>-38284.59</v>
      </c>
      <c r="AI8" s="287">
        <f>28000-360.52+1.17</f>
        <v>27640.649999999998</v>
      </c>
      <c r="AJ8" s="330">
        <v>66457.85</v>
      </c>
      <c r="AK8" s="296">
        <f t="shared" si="9"/>
        <v>-38817.20000000001</v>
      </c>
      <c r="AL8" s="287">
        <f>28000-1.17</f>
        <v>27998.83</v>
      </c>
      <c r="AM8" s="330">
        <v>68639.59</v>
      </c>
      <c r="AN8" s="296">
        <f t="shared" si="10"/>
        <v>-40640.759999999995</v>
      </c>
      <c r="AO8" s="301">
        <f t="shared" si="11"/>
        <v>201742.55000000002</v>
      </c>
      <c r="AP8" s="287">
        <f>(Q8+AE8+AO8)/9</f>
        <v>65723.8688888889</v>
      </c>
      <c r="AQ8" s="223">
        <f>AP8*AP17/100</f>
        <v>471.3713793745686</v>
      </c>
      <c r="AR8" s="286">
        <v>44367.66</v>
      </c>
      <c r="AS8" s="287">
        <v>28000</v>
      </c>
      <c r="AT8" s="371">
        <v>7000</v>
      </c>
      <c r="AU8" s="373">
        <f>AS8+AT8</f>
        <v>35000</v>
      </c>
      <c r="AV8" s="287">
        <f>AQ8+AU8</f>
        <v>35471.37137937457</v>
      </c>
      <c r="AW8" s="330">
        <v>78701.57</v>
      </c>
      <c r="AX8" s="296">
        <f>AW8-AV8</f>
        <v>43230.19862062544</v>
      </c>
      <c r="AY8" s="287">
        <f>(Q8+AE8+AO8+AW8)/10</f>
        <v>67021.63900000001</v>
      </c>
      <c r="AZ8" s="286">
        <f>AY8*AZ16/100</f>
        <v>974.5487646688093</v>
      </c>
      <c r="BA8" s="287">
        <v>17025.58</v>
      </c>
      <c r="BB8" s="371">
        <v>17975</v>
      </c>
      <c r="BC8" s="223">
        <f>BA8+BB8</f>
        <v>35000.58</v>
      </c>
      <c r="BD8" s="223">
        <f t="shared" si="12"/>
        <v>35975.128764668814</v>
      </c>
      <c r="BE8" s="275">
        <v>17156.46</v>
      </c>
      <c r="BF8" s="223">
        <v>11549.12</v>
      </c>
      <c r="BG8" s="223">
        <f>BE8-BF8</f>
        <v>5607.339999999998</v>
      </c>
      <c r="BH8" s="461">
        <f t="shared" si="13"/>
        <v>47524.24876466882</v>
      </c>
      <c r="BI8" s="330">
        <v>89725.39</v>
      </c>
      <c r="BJ8" s="287">
        <f t="shared" si="14"/>
        <v>42201.14123533118</v>
      </c>
      <c r="BK8" s="287">
        <v>0</v>
      </c>
      <c r="BL8" s="371">
        <f t="shared" si="15"/>
        <v>19392.660000000003</v>
      </c>
      <c r="BM8" s="223">
        <f t="shared" si="16"/>
        <v>19392.660000000003</v>
      </c>
      <c r="BN8" s="296">
        <v>42201.14</v>
      </c>
      <c r="BO8" s="495">
        <f>BG8+BM8+52318.29</f>
        <v>77318.29000000001</v>
      </c>
      <c r="BP8" s="508">
        <v>77318.29</v>
      </c>
      <c r="BQ8" s="504">
        <f t="shared" si="17"/>
        <v>0</v>
      </c>
      <c r="BR8" s="510">
        <v>45787.53</v>
      </c>
      <c r="BS8" s="301">
        <f aca="true" t="shared" si="20" ref="BS8:BS13">AW8+BI8+BP8</f>
        <v>245745.25</v>
      </c>
      <c r="BT8" s="476">
        <f t="shared" si="18"/>
        <v>837260.0700000001</v>
      </c>
      <c r="BU8" s="136">
        <f t="shared" si="19"/>
        <v>837260.0700000002</v>
      </c>
      <c r="BV8" s="478"/>
    </row>
    <row r="9" spans="1:74" s="5" customFormat="1" ht="22.5" customHeight="1">
      <c r="A9" s="51">
        <v>5</v>
      </c>
      <c r="B9" s="90" t="s">
        <v>29</v>
      </c>
      <c r="C9" s="160">
        <v>822593.6</v>
      </c>
      <c r="D9" s="30">
        <f>65277.86+5355.26</f>
        <v>70633.12</v>
      </c>
      <c r="E9" s="95">
        <v>70633.12</v>
      </c>
      <c r="F9" s="23">
        <f t="shared" si="0"/>
        <v>0</v>
      </c>
      <c r="G9" s="23">
        <f>(C9+E9)/13</f>
        <v>68709.74769230769</v>
      </c>
      <c r="H9" s="30">
        <f>65627.06-5355.26</f>
        <v>60271.799999999996</v>
      </c>
      <c r="I9" s="79">
        <f>G9*G16/100</f>
        <v>1833.6861399656543</v>
      </c>
      <c r="J9" s="137">
        <f>H9+I9+4947.5</f>
        <v>67052.98613996565</v>
      </c>
      <c r="K9" s="38">
        <v>75695.52</v>
      </c>
      <c r="L9" s="182">
        <f t="shared" si="1"/>
        <v>-8642.533860034353</v>
      </c>
      <c r="M9" s="30">
        <f>65627.06-4947.5+3222.49</f>
        <v>63902.049999999996</v>
      </c>
      <c r="N9" s="30"/>
      <c r="O9" s="76">
        <v>105333.36</v>
      </c>
      <c r="P9" s="182">
        <f t="shared" si="2"/>
        <v>-41431.310000000005</v>
      </c>
      <c r="Q9" s="172">
        <f t="shared" si="3"/>
        <v>251662</v>
      </c>
      <c r="R9" s="257">
        <f>66494.57-3222.49+9727.82</f>
        <v>72999.90000000001</v>
      </c>
      <c r="S9" s="276">
        <v>79589.73</v>
      </c>
      <c r="T9" s="296">
        <f t="shared" si="4"/>
        <v>-6589.829999999987</v>
      </c>
      <c r="U9" s="287">
        <f>(C9+Q9+S9)/16</f>
        <v>72115.333125</v>
      </c>
      <c r="V9" s="223">
        <f>U9*V16/100</f>
        <v>0</v>
      </c>
      <c r="W9" s="286">
        <v>420667.05</v>
      </c>
      <c r="X9" s="287">
        <f>68000-9727.82</f>
        <v>58272.18</v>
      </c>
      <c r="Y9" s="320">
        <f>V9+X9+1287.76</f>
        <v>59559.94</v>
      </c>
      <c r="Z9" s="330">
        <v>86622.04</v>
      </c>
      <c r="AA9" s="296">
        <f t="shared" si="5"/>
        <v>-27062.09999999999</v>
      </c>
      <c r="AB9" s="287">
        <f>68000-1287.76+5196.34</f>
        <v>71908.58</v>
      </c>
      <c r="AC9" s="330">
        <v>100626.87</v>
      </c>
      <c r="AD9" s="296">
        <f t="shared" si="6"/>
        <v>-28718.289999999994</v>
      </c>
      <c r="AE9" s="301">
        <f t="shared" si="7"/>
        <v>266838.64</v>
      </c>
      <c r="AF9" s="287">
        <f>68000-5196.34+3044.85</f>
        <v>65848.51000000001</v>
      </c>
      <c r="AG9" s="330">
        <v>92177.52</v>
      </c>
      <c r="AH9" s="296">
        <f t="shared" si="8"/>
        <v>-26329.009999999995</v>
      </c>
      <c r="AI9" s="287">
        <f>68000-3044.85+5714.3</f>
        <v>70669.45</v>
      </c>
      <c r="AJ9" s="330">
        <v>93247.64</v>
      </c>
      <c r="AK9" s="296">
        <f t="shared" si="9"/>
        <v>-22578.190000000002</v>
      </c>
      <c r="AL9" s="287">
        <f>68000-5714.3+3157.23</f>
        <v>65442.93</v>
      </c>
      <c r="AM9" s="330">
        <v>97791.14</v>
      </c>
      <c r="AN9" s="296">
        <f t="shared" si="10"/>
        <v>-32348.21</v>
      </c>
      <c r="AO9" s="301">
        <f t="shared" si="11"/>
        <v>283216.3</v>
      </c>
      <c r="AP9" s="287">
        <f>(Q9+AE9+AO9)/9</f>
        <v>89079.65999999999</v>
      </c>
      <c r="AQ9" s="223">
        <f>AP9*AP17/100</f>
        <v>638.8790392027001</v>
      </c>
      <c r="AR9" s="286">
        <v>102684.78</v>
      </c>
      <c r="AS9" s="287">
        <v>68000</v>
      </c>
      <c r="AT9" s="371">
        <v>12000</v>
      </c>
      <c r="AU9" s="373">
        <f>AS9+AT9-3157.23</f>
        <v>76842.77</v>
      </c>
      <c r="AV9" s="287">
        <f>AQ9+AU9</f>
        <v>77481.6490392027</v>
      </c>
      <c r="AW9" s="330">
        <v>104672.34</v>
      </c>
      <c r="AX9" s="296">
        <f>AW9-AV9</f>
        <v>27190.690960797292</v>
      </c>
      <c r="AY9" s="287">
        <f>(Q9+AE9+AO9+AW9)/10</f>
        <v>90638.92799999999</v>
      </c>
      <c r="AZ9" s="286">
        <f>AY9*AZ16/100</f>
        <v>1317.9632224945308</v>
      </c>
      <c r="BA9" s="287">
        <v>12667.05</v>
      </c>
      <c r="BB9" s="371">
        <v>50684</v>
      </c>
      <c r="BC9" s="223">
        <f>BA9+BB9</f>
        <v>63351.05</v>
      </c>
      <c r="BD9" s="223">
        <f t="shared" si="12"/>
        <v>64669.013222494534</v>
      </c>
      <c r="BE9" s="275">
        <v>39734.47</v>
      </c>
      <c r="BF9" s="223">
        <v>29734.47</v>
      </c>
      <c r="BG9" s="223">
        <f>BE9-BF9</f>
        <v>10000</v>
      </c>
      <c r="BH9" s="461">
        <f t="shared" si="13"/>
        <v>94403.48322249454</v>
      </c>
      <c r="BI9" s="330">
        <v>131663.44</v>
      </c>
      <c r="BJ9" s="287">
        <f t="shared" si="14"/>
        <v>37259.95677750546</v>
      </c>
      <c r="BK9" s="287">
        <v>0</v>
      </c>
      <c r="BL9" s="371">
        <f t="shared" si="15"/>
        <v>40000.78</v>
      </c>
      <c r="BM9" s="223">
        <f t="shared" si="16"/>
        <v>40000.78</v>
      </c>
      <c r="BN9" s="296">
        <f>108.92+27488.96</f>
        <v>27597.879999999997</v>
      </c>
      <c r="BO9" s="495">
        <f>BG9+BM9+114820.38</f>
        <v>164821.16</v>
      </c>
      <c r="BP9" s="508">
        <v>164811.82</v>
      </c>
      <c r="BQ9" s="504">
        <f t="shared" si="17"/>
        <v>9.339999999996508</v>
      </c>
      <c r="BR9" s="510">
        <v>20276.21</v>
      </c>
      <c r="BS9" s="301">
        <f t="shared" si="20"/>
        <v>401147.6</v>
      </c>
      <c r="BT9" s="476">
        <f t="shared" si="18"/>
        <v>1202864.54</v>
      </c>
      <c r="BU9" s="136">
        <f t="shared" si="19"/>
        <v>1202864.54</v>
      </c>
      <c r="BV9" s="478"/>
    </row>
    <row r="10" spans="1:74" s="5" customFormat="1" ht="22.5" customHeight="1">
      <c r="A10" s="51">
        <v>6</v>
      </c>
      <c r="B10" s="90" t="s">
        <v>42</v>
      </c>
      <c r="C10" s="159">
        <v>101278.44</v>
      </c>
      <c r="D10" s="24">
        <f>26019.7+562.48</f>
        <v>26582.18</v>
      </c>
      <c r="E10" s="94">
        <v>26930.39</v>
      </c>
      <c r="F10" s="182">
        <f t="shared" si="0"/>
        <v>-348.2099999999991</v>
      </c>
      <c r="G10" s="23">
        <f>(C10+E10)/13</f>
        <v>9862.217692307693</v>
      </c>
      <c r="H10" s="24">
        <f>26039.26-562.48</f>
        <v>25476.78</v>
      </c>
      <c r="I10" s="24">
        <f>G10*G16/100</f>
        <v>263.19718088170583</v>
      </c>
      <c r="J10" s="137">
        <f>H10+I10</f>
        <v>25739.977180881706</v>
      </c>
      <c r="K10" s="39">
        <v>26712.02</v>
      </c>
      <c r="L10" s="186">
        <f t="shared" si="1"/>
        <v>-972.0428191182946</v>
      </c>
      <c r="M10" s="24">
        <v>26039.26</v>
      </c>
      <c r="N10" s="24"/>
      <c r="O10" s="39">
        <v>27114.45</v>
      </c>
      <c r="P10" s="186">
        <f t="shared" si="2"/>
        <v>-1075.1900000000023</v>
      </c>
      <c r="Q10" s="172">
        <f t="shared" si="3"/>
        <v>80756.86</v>
      </c>
      <c r="R10" s="257">
        <v>26410.91</v>
      </c>
      <c r="S10" s="276">
        <v>26651.93</v>
      </c>
      <c r="T10" s="296">
        <f t="shared" si="4"/>
        <v>-241.02000000000044</v>
      </c>
      <c r="U10" s="287">
        <f>(C10+Q10+S10)/16</f>
        <v>13042.951874999999</v>
      </c>
      <c r="V10" s="223">
        <f>U10*V16/100</f>
        <v>0</v>
      </c>
      <c r="W10" s="286">
        <v>155828.19</v>
      </c>
      <c r="X10" s="287">
        <v>25000</v>
      </c>
      <c r="Y10" s="320">
        <f>V10+X10</f>
        <v>25000</v>
      </c>
      <c r="Z10" s="330">
        <v>25294.61</v>
      </c>
      <c r="AA10" s="296">
        <f t="shared" si="5"/>
        <v>-294.6100000000006</v>
      </c>
      <c r="AB10" s="287">
        <f>25000+149.2</f>
        <v>25149.2</v>
      </c>
      <c r="AC10" s="330">
        <v>25326.54</v>
      </c>
      <c r="AD10" s="296">
        <f t="shared" si="6"/>
        <v>-177.34000000000015</v>
      </c>
      <c r="AE10" s="301">
        <f t="shared" si="7"/>
        <v>77273.08</v>
      </c>
      <c r="AF10" s="287">
        <f>25000-149.2+427.78</f>
        <v>25278.579999999998</v>
      </c>
      <c r="AG10" s="330">
        <v>25278.58</v>
      </c>
      <c r="AH10" s="223">
        <f t="shared" si="8"/>
        <v>0</v>
      </c>
      <c r="AI10" s="287">
        <f>25000-427.78+728.4</f>
        <v>25300.620000000003</v>
      </c>
      <c r="AJ10" s="330">
        <v>25300.62</v>
      </c>
      <c r="AK10" s="287">
        <f t="shared" si="9"/>
        <v>0</v>
      </c>
      <c r="AL10" s="287">
        <f>25000-728.4+738.25</f>
        <v>25009.85</v>
      </c>
      <c r="AM10" s="330">
        <v>25143.09</v>
      </c>
      <c r="AN10" s="296">
        <f t="shared" si="10"/>
        <v>-133.2400000000016</v>
      </c>
      <c r="AO10" s="301">
        <f t="shared" si="11"/>
        <v>75722.29</v>
      </c>
      <c r="AP10" s="287">
        <f>(Q10+AE10+AO10)/9</f>
        <v>25972.469999999998</v>
      </c>
      <c r="AQ10" s="223">
        <f>AP10*AP17/100</f>
        <v>186.27447252628662</v>
      </c>
      <c r="AR10" s="286">
        <v>37366.37</v>
      </c>
      <c r="AS10" s="287">
        <v>20000</v>
      </c>
      <c r="AT10" s="371">
        <v>2000</v>
      </c>
      <c r="AU10" s="373">
        <f>AS10+AT10-738.25</f>
        <v>21261.75</v>
      </c>
      <c r="AV10" s="287">
        <f>AQ10+AU10+441.14</f>
        <v>21889.164472526285</v>
      </c>
      <c r="AW10" s="330">
        <v>21889.16</v>
      </c>
      <c r="AX10" s="287">
        <f>AW10-AV10</f>
        <v>-0.004472526285098866</v>
      </c>
      <c r="AY10" s="287">
        <f>(Q10+AE10+AO10+AW10)/10</f>
        <v>25564.139</v>
      </c>
      <c r="AZ10" s="286">
        <f>AY10*AZ16/100</f>
        <v>371.72322930317665</v>
      </c>
      <c r="BA10" s="287">
        <v>10828.19</v>
      </c>
      <c r="BB10" s="371">
        <v>15000</v>
      </c>
      <c r="BC10" s="223">
        <f>BA10+BB10-441.14</f>
        <v>25387.050000000003</v>
      </c>
      <c r="BD10" s="223">
        <f t="shared" si="12"/>
        <v>25758.77322930318</v>
      </c>
      <c r="BE10" s="275">
        <v>14426.19</v>
      </c>
      <c r="BF10" s="223">
        <v>10000</v>
      </c>
      <c r="BG10" s="223">
        <f>BE10-BF10</f>
        <v>4426.1900000000005</v>
      </c>
      <c r="BH10" s="461">
        <f t="shared" si="13"/>
        <v>35758.77322930318</v>
      </c>
      <c r="BI10" s="330">
        <v>34814.01</v>
      </c>
      <c r="BJ10" s="287">
        <f t="shared" si="14"/>
        <v>-944.7632293031784</v>
      </c>
      <c r="BK10" s="287">
        <v>0</v>
      </c>
      <c r="BL10" s="371">
        <f t="shared" si="15"/>
        <v>20366.370000000003</v>
      </c>
      <c r="BM10" s="223">
        <f t="shared" si="16"/>
        <v>20366.370000000003</v>
      </c>
      <c r="BN10" s="223"/>
      <c r="BO10" s="495">
        <f>BG10+BM10+38.42</f>
        <v>24830.980000000003</v>
      </c>
      <c r="BP10" s="508">
        <v>24830.98</v>
      </c>
      <c r="BQ10" s="504">
        <f t="shared" si="17"/>
        <v>0</v>
      </c>
      <c r="BR10" s="504"/>
      <c r="BS10" s="301">
        <f t="shared" si="20"/>
        <v>81534.15</v>
      </c>
      <c r="BT10" s="476">
        <f t="shared" si="18"/>
        <v>315286.38</v>
      </c>
      <c r="BU10" s="136">
        <f t="shared" si="19"/>
        <v>315286.37999999995</v>
      </c>
      <c r="BV10" s="478"/>
    </row>
    <row r="11" spans="1:74" s="5" customFormat="1" ht="26.25" customHeight="1" thickBot="1">
      <c r="A11" s="51">
        <v>7</v>
      </c>
      <c r="B11" s="91" t="s">
        <v>30</v>
      </c>
      <c r="C11" s="161">
        <v>631328.19</v>
      </c>
      <c r="D11" s="54">
        <v>55788.61</v>
      </c>
      <c r="E11" s="201">
        <v>55445.67</v>
      </c>
      <c r="F11" s="23">
        <f t="shared" si="0"/>
        <v>342.9400000000023</v>
      </c>
      <c r="G11" s="23"/>
      <c r="H11" s="54">
        <v>55820.45</v>
      </c>
      <c r="I11" s="54">
        <v>0</v>
      </c>
      <c r="J11" s="137">
        <f>H11+I11</f>
        <v>55820.45</v>
      </c>
      <c r="K11" s="53">
        <v>56077.77</v>
      </c>
      <c r="L11" s="182">
        <f t="shared" si="1"/>
        <v>-257.3199999999997</v>
      </c>
      <c r="M11" s="54">
        <v>55820.45</v>
      </c>
      <c r="N11" s="54"/>
      <c r="O11" s="53">
        <v>57301.47</v>
      </c>
      <c r="P11" s="182">
        <f t="shared" si="2"/>
        <v>-1481.020000000004</v>
      </c>
      <c r="Q11" s="172">
        <f t="shared" si="3"/>
        <v>168824.91</v>
      </c>
      <c r="R11" s="257">
        <f>56565.88+5142.06</f>
        <v>61707.939999999995</v>
      </c>
      <c r="S11" s="276">
        <v>62431.95</v>
      </c>
      <c r="T11" s="296">
        <f t="shared" si="4"/>
        <v>-724.010000000002</v>
      </c>
      <c r="U11" s="287">
        <f>(C11+Q11+S11)/16</f>
        <v>53911.565624999996</v>
      </c>
      <c r="V11" s="223">
        <f>U11*V16/100</f>
        <v>0</v>
      </c>
      <c r="W11" s="286">
        <v>357120.57</v>
      </c>
      <c r="X11" s="287">
        <f>57000-5142.06</f>
        <v>51857.94</v>
      </c>
      <c r="Y11" s="320">
        <f>V11+X11+12580.53</f>
        <v>64438.47</v>
      </c>
      <c r="Z11" s="330">
        <v>64850.78</v>
      </c>
      <c r="AA11" s="296">
        <f t="shared" si="5"/>
        <v>-412.3099999999977</v>
      </c>
      <c r="AB11" s="287">
        <f>57000-12580.53+34124.63</f>
        <v>78544.1</v>
      </c>
      <c r="AC11" s="330">
        <v>79063.45</v>
      </c>
      <c r="AD11" s="296">
        <f t="shared" si="6"/>
        <v>-519.3499999999913</v>
      </c>
      <c r="AE11" s="301">
        <f t="shared" si="7"/>
        <v>206346.18</v>
      </c>
      <c r="AF11" s="287">
        <f>58780-34124.63+44919.57</f>
        <v>69574.94</v>
      </c>
      <c r="AG11" s="330">
        <v>69916.62</v>
      </c>
      <c r="AH11" s="296">
        <f t="shared" si="8"/>
        <v>-341.679999999993</v>
      </c>
      <c r="AI11" s="287">
        <f>58780-44919.57+54548.71</f>
        <v>68409.14</v>
      </c>
      <c r="AJ11" s="330">
        <v>68930.46</v>
      </c>
      <c r="AK11" s="296">
        <f t="shared" si="9"/>
        <v>-521.320000000007</v>
      </c>
      <c r="AL11" s="287">
        <f>58780-54548.71+27856.83</f>
        <v>32088.120000000003</v>
      </c>
      <c r="AM11" s="330">
        <v>32611.1</v>
      </c>
      <c r="AN11" s="296">
        <f t="shared" si="10"/>
        <v>-522.9799999999959</v>
      </c>
      <c r="AO11" s="301">
        <f t="shared" si="11"/>
        <v>171458.18000000002</v>
      </c>
      <c r="AP11" s="287">
        <f>(Q11+AE11+AO11)/9</f>
        <v>60736.58555555556</v>
      </c>
      <c r="AQ11" s="223">
        <f>AP11*AP17/100</f>
        <v>435.6025991139385</v>
      </c>
      <c r="AR11" s="286">
        <v>85634.64</v>
      </c>
      <c r="AS11" s="287">
        <v>55000</v>
      </c>
      <c r="AT11" s="371">
        <v>22000</v>
      </c>
      <c r="AU11" s="373">
        <f>AS11+AT11-27856.83</f>
        <v>49143.17</v>
      </c>
      <c r="AV11" s="287">
        <f>AQ11+AU11+20567.47</f>
        <v>70146.24259911393</v>
      </c>
      <c r="AW11" s="330">
        <v>70276.9</v>
      </c>
      <c r="AX11" s="296">
        <f>AW11-AV11</f>
        <v>130.65740088606253</v>
      </c>
      <c r="AY11" s="287">
        <f>(Q11+AE11+AO11+AW11)/10</f>
        <v>61690.617000000006</v>
      </c>
      <c r="AZ11" s="286">
        <f>AY11*AZ16/100</f>
        <v>897.0313989039664</v>
      </c>
      <c r="BA11" s="287">
        <v>11780.57</v>
      </c>
      <c r="BB11" s="371">
        <v>43635</v>
      </c>
      <c r="BC11" s="223">
        <f>BA11+BB11-20567.47</f>
        <v>34848.1</v>
      </c>
      <c r="BD11" s="223">
        <f t="shared" si="12"/>
        <v>35745.13139890396</v>
      </c>
      <c r="BE11" s="275">
        <v>33109.49</v>
      </c>
      <c r="BF11" s="223">
        <v>33109.49</v>
      </c>
      <c r="BG11" s="223">
        <v>11952.81</v>
      </c>
      <c r="BH11" s="461">
        <f t="shared" si="13"/>
        <v>68854.62139890395</v>
      </c>
      <c r="BI11" s="330">
        <v>68937.97</v>
      </c>
      <c r="BJ11" s="287">
        <f t="shared" si="14"/>
        <v>83.34860109604779</v>
      </c>
      <c r="BK11" s="287">
        <v>0</v>
      </c>
      <c r="BL11" s="371">
        <f t="shared" si="15"/>
        <v>19999.64</v>
      </c>
      <c r="BM11" s="223">
        <f t="shared" si="16"/>
        <v>19999.64</v>
      </c>
      <c r="BN11" s="296">
        <v>83.35</v>
      </c>
      <c r="BO11" s="495">
        <f>BG11+BM11+2171.47</f>
        <v>34123.92</v>
      </c>
      <c r="BP11" s="508">
        <v>34123.92</v>
      </c>
      <c r="BQ11" s="504">
        <f t="shared" si="17"/>
        <v>0</v>
      </c>
      <c r="BR11" s="510">
        <f>193.41+466.01</f>
        <v>659.42</v>
      </c>
      <c r="BS11" s="301">
        <f t="shared" si="20"/>
        <v>173338.78999999998</v>
      </c>
      <c r="BT11" s="476">
        <f t="shared" si="18"/>
        <v>719968.06</v>
      </c>
      <c r="BU11" s="136">
        <f t="shared" si="19"/>
        <v>719968.06</v>
      </c>
      <c r="BV11" s="478"/>
    </row>
    <row r="12" spans="1:74" s="11" customFormat="1" ht="23.25" customHeight="1" thickBot="1">
      <c r="A12" s="100"/>
      <c r="B12" s="14" t="s">
        <v>2</v>
      </c>
      <c r="C12" s="44">
        <v>3480574.47</v>
      </c>
      <c r="D12" s="44">
        <f>SUM(D5:D11)</f>
        <v>301450.93</v>
      </c>
      <c r="E12" s="44">
        <f>SUM(E5:E11)</f>
        <v>333761.38999999996</v>
      </c>
      <c r="F12" s="44">
        <f>F6+F9+F11</f>
        <v>5477.889999999999</v>
      </c>
      <c r="G12" s="44">
        <f aca="true" t="shared" si="21" ref="G12:M12">SUM(G5:G11)</f>
        <v>205261.1030769231</v>
      </c>
      <c r="H12" s="44">
        <f t="shared" si="21"/>
        <v>272549.07</v>
      </c>
      <c r="I12" s="44">
        <f t="shared" si="21"/>
        <v>5477.89</v>
      </c>
      <c r="J12" s="44">
        <f t="shared" si="21"/>
        <v>289870.7</v>
      </c>
      <c r="K12" s="44">
        <f t="shared" si="21"/>
        <v>341957.91000000003</v>
      </c>
      <c r="L12" s="44">
        <f t="shared" si="21"/>
        <v>-52087.210000000014</v>
      </c>
      <c r="M12" s="44">
        <f t="shared" si="21"/>
        <v>278556.69</v>
      </c>
      <c r="N12" s="44"/>
      <c r="O12" s="44">
        <f>SUM(O5:O11)</f>
        <v>375816.66000000003</v>
      </c>
      <c r="P12" s="44">
        <f>P5</f>
        <v>1.7300000000032014</v>
      </c>
      <c r="Q12" s="44">
        <f>SUM(Q5:Q11)</f>
        <v>1051535.96</v>
      </c>
      <c r="R12" s="44">
        <f>SUM(R5:R11)</f>
        <v>308855.64999999997</v>
      </c>
      <c r="S12" s="44">
        <f>SUM(S5:S11)</f>
        <v>326703.68</v>
      </c>
      <c r="T12" s="44">
        <f>T6</f>
        <v>982.2099999999991</v>
      </c>
      <c r="U12" s="44">
        <f aca="true" t="shared" si="22" ref="U12:Z12">SUM(U5:U11)</f>
        <v>268091.919375</v>
      </c>
      <c r="V12" s="44">
        <f t="shared" si="22"/>
        <v>0</v>
      </c>
      <c r="W12" s="44">
        <f t="shared" si="22"/>
        <v>1846600</v>
      </c>
      <c r="X12" s="288">
        <f t="shared" si="22"/>
        <v>264743.92</v>
      </c>
      <c r="Y12" s="288">
        <f t="shared" si="22"/>
        <v>286054.07999999996</v>
      </c>
      <c r="Z12" s="288">
        <f t="shared" si="22"/>
        <v>367543.43999999994</v>
      </c>
      <c r="AA12" s="288">
        <v>0</v>
      </c>
      <c r="AB12" s="288">
        <f>SUM(AB5:AB11)</f>
        <v>305160.01</v>
      </c>
      <c r="AC12" s="288">
        <f>SUM(AC5:AC11)</f>
        <v>373240.57</v>
      </c>
      <c r="AD12" s="288">
        <f>AD6</f>
        <v>1.2000000000043656</v>
      </c>
      <c r="AE12" s="357">
        <f>SUM(AE5:AE11)</f>
        <v>1067487.69</v>
      </c>
      <c r="AF12" s="44">
        <f>SUM(AF5:AF11)</f>
        <v>305057.8</v>
      </c>
      <c r="AG12" s="44">
        <f>SUM(AG5:AG11)</f>
        <v>371066.53</v>
      </c>
      <c r="AH12" s="44">
        <v>0</v>
      </c>
      <c r="AI12" s="44">
        <f>SUM(AI5:AI11)</f>
        <v>300421.67</v>
      </c>
      <c r="AJ12" s="44">
        <f>SUM(AJ5:AJ11)</f>
        <v>364398.16000000003</v>
      </c>
      <c r="AK12" s="44">
        <f>AK6</f>
        <v>105.59000000000378</v>
      </c>
      <c r="AL12" s="44">
        <f>SUM(AL5:AL11)</f>
        <v>253142.67</v>
      </c>
      <c r="AM12" s="44">
        <f>SUM(AM5:AM11)</f>
        <v>327328.06</v>
      </c>
      <c r="AN12" s="44">
        <f>AN5+AN6</f>
        <v>1828.0900000000038</v>
      </c>
      <c r="AO12" s="44">
        <f aca="true" t="shared" si="23" ref="AO12:AW12">SUM(AO5:AO11)</f>
        <v>1062792.75</v>
      </c>
      <c r="AP12" s="44">
        <f t="shared" si="23"/>
        <v>269782.6066666667</v>
      </c>
      <c r="AQ12" s="44">
        <f t="shared" si="23"/>
        <v>1934.88</v>
      </c>
      <c r="AR12" s="44">
        <f t="shared" si="23"/>
        <v>442800</v>
      </c>
      <c r="AS12" s="44">
        <f t="shared" si="23"/>
        <v>280000</v>
      </c>
      <c r="AT12" s="44">
        <f t="shared" si="23"/>
        <v>65000</v>
      </c>
      <c r="AU12" s="44">
        <f t="shared" si="23"/>
        <v>313247.69</v>
      </c>
      <c r="AV12" s="44">
        <f t="shared" si="23"/>
        <v>345043.45000000007</v>
      </c>
      <c r="AW12" s="44">
        <f t="shared" si="23"/>
        <v>413163.2899999999</v>
      </c>
      <c r="AX12" s="44">
        <f>AX6</f>
        <v>4714.230000000003</v>
      </c>
      <c r="AY12" s="44">
        <f aca="true" t="shared" si="24" ref="AY12:BV12">SUM(AY5:AY11)</f>
        <v>324206.88700000005</v>
      </c>
      <c r="AZ12" s="44">
        <f t="shared" si="24"/>
        <v>4714.230000000003</v>
      </c>
      <c r="BA12" s="44">
        <f t="shared" si="24"/>
        <v>126260</v>
      </c>
      <c r="BB12" s="44">
        <f t="shared" si="24"/>
        <v>187095</v>
      </c>
      <c r="BC12" s="44">
        <f t="shared" si="24"/>
        <v>283494.11999999994</v>
      </c>
      <c r="BD12" s="44">
        <f t="shared" si="24"/>
        <v>288208.35</v>
      </c>
      <c r="BE12" s="44">
        <f t="shared" si="24"/>
        <v>150000</v>
      </c>
      <c r="BF12" s="44">
        <f t="shared" si="24"/>
        <v>109393.07999999999</v>
      </c>
      <c r="BG12" s="44">
        <f t="shared" si="24"/>
        <v>52559.729999999996</v>
      </c>
      <c r="BH12" s="44">
        <f t="shared" si="24"/>
        <v>397601.43</v>
      </c>
      <c r="BI12" s="44">
        <f t="shared" si="24"/>
        <v>449794.01</v>
      </c>
      <c r="BJ12" s="44">
        <f t="shared" si="24"/>
        <v>52192.579999999994</v>
      </c>
      <c r="BK12" s="44">
        <f t="shared" si="24"/>
        <v>0</v>
      </c>
      <c r="BL12" s="44">
        <f t="shared" si="24"/>
        <v>190705</v>
      </c>
      <c r="BM12" s="44">
        <f t="shared" si="24"/>
        <v>190705</v>
      </c>
      <c r="BN12" s="43">
        <f t="shared" si="24"/>
        <v>72225.20000000001</v>
      </c>
      <c r="BO12" s="496">
        <f t="shared" si="24"/>
        <v>492657.48000000004</v>
      </c>
      <c r="BP12" s="496">
        <f>SUM(BP5:BP11)</f>
        <v>458706.41</v>
      </c>
      <c r="BQ12" s="130">
        <f>SUM(BQ5:BQ11)</f>
        <v>33951.07</v>
      </c>
      <c r="BR12" s="496">
        <f>SUM(BR5:BR11)</f>
        <v>68187.87</v>
      </c>
      <c r="BS12" s="43">
        <f>SUM(BS5:BS11)</f>
        <v>1321663.71</v>
      </c>
      <c r="BT12" s="44">
        <f t="shared" si="24"/>
        <v>4503480.109999999</v>
      </c>
      <c r="BU12" s="43">
        <f t="shared" si="24"/>
        <v>4503480.11</v>
      </c>
      <c r="BV12" s="479">
        <f t="shared" si="24"/>
        <v>0</v>
      </c>
    </row>
    <row r="13" spans="1:74" s="6" customFormat="1" ht="29.25" customHeight="1" thickBot="1">
      <c r="A13" s="97">
        <v>8</v>
      </c>
      <c r="B13" s="92" t="s">
        <v>14</v>
      </c>
      <c r="C13" s="162">
        <v>163080</v>
      </c>
      <c r="D13" s="52">
        <v>10000</v>
      </c>
      <c r="E13" s="201">
        <v>12370</v>
      </c>
      <c r="F13" s="182">
        <f>D13-E13</f>
        <v>-2370</v>
      </c>
      <c r="G13" s="54"/>
      <c r="H13" s="52">
        <v>10000</v>
      </c>
      <c r="I13" s="52">
        <v>0</v>
      </c>
      <c r="J13" s="137">
        <f>H13+I13</f>
        <v>10000</v>
      </c>
      <c r="K13" s="53">
        <v>15600</v>
      </c>
      <c r="L13" s="182">
        <f>J13-K13</f>
        <v>-5600</v>
      </c>
      <c r="M13" s="52">
        <v>10000</v>
      </c>
      <c r="N13" s="52"/>
      <c r="O13" s="53">
        <v>15960</v>
      </c>
      <c r="P13" s="182">
        <f>M13-O13</f>
        <v>-5960</v>
      </c>
      <c r="Q13" s="172">
        <f>E13+K13+O13</f>
        <v>43930</v>
      </c>
      <c r="R13" s="257">
        <v>10000</v>
      </c>
      <c r="S13" s="276">
        <v>9920</v>
      </c>
      <c r="T13" s="257">
        <f>R13-S13</f>
        <v>80</v>
      </c>
      <c r="U13" s="257">
        <v>0</v>
      </c>
      <c r="V13" s="257">
        <v>0</v>
      </c>
      <c r="W13" s="275">
        <v>77000</v>
      </c>
      <c r="X13" s="287">
        <v>10000</v>
      </c>
      <c r="Y13" s="320">
        <f>V13+X13</f>
        <v>10000</v>
      </c>
      <c r="Z13" s="330">
        <v>19840</v>
      </c>
      <c r="AA13" s="296">
        <f>Y13-Z13</f>
        <v>-9840</v>
      </c>
      <c r="AB13" s="287">
        <v>10000</v>
      </c>
      <c r="AC13" s="330">
        <v>20000</v>
      </c>
      <c r="AD13" s="296">
        <f>AB13-AC13</f>
        <v>-10000</v>
      </c>
      <c r="AE13" s="301">
        <f>S13+Z13+AC13</f>
        <v>49760</v>
      </c>
      <c r="AF13" s="287">
        <v>10000</v>
      </c>
      <c r="AG13" s="330">
        <v>16840</v>
      </c>
      <c r="AH13" s="296">
        <f>AF13-AG13</f>
        <v>-6840</v>
      </c>
      <c r="AI13" s="287">
        <v>10000</v>
      </c>
      <c r="AJ13" s="330">
        <v>14800</v>
      </c>
      <c r="AK13" s="296">
        <f>AI13-AJ13</f>
        <v>-4800</v>
      </c>
      <c r="AL13" s="287">
        <v>10000</v>
      </c>
      <c r="AM13" s="330">
        <v>15760</v>
      </c>
      <c r="AN13" s="296">
        <f>AL13-AM13</f>
        <v>-5760</v>
      </c>
      <c r="AO13" s="301">
        <f>AG13+AJ13+AM13</f>
        <v>47400</v>
      </c>
      <c r="AP13" s="223"/>
      <c r="AQ13" s="223"/>
      <c r="AR13" s="286">
        <v>3000</v>
      </c>
      <c r="AS13" s="287">
        <v>10000</v>
      </c>
      <c r="AT13" s="371">
        <v>1000</v>
      </c>
      <c r="AU13" s="373">
        <f>AS13+AT13</f>
        <v>11000</v>
      </c>
      <c r="AV13" s="287">
        <f>AQ13+AU13</f>
        <v>11000</v>
      </c>
      <c r="AW13" s="330">
        <v>16170</v>
      </c>
      <c r="AX13" s="296">
        <f>AW13-AV13</f>
        <v>5170</v>
      </c>
      <c r="AY13" s="223"/>
      <c r="AZ13" s="223"/>
      <c r="BA13" s="287">
        <v>10000</v>
      </c>
      <c r="BB13" s="371">
        <v>1000</v>
      </c>
      <c r="BC13" s="223">
        <f>BA13+BB13</f>
        <v>11000</v>
      </c>
      <c r="BD13" s="223">
        <f>AZ13+BC13</f>
        <v>11000</v>
      </c>
      <c r="BE13" s="223">
        <v>0</v>
      </c>
      <c r="BF13" s="223">
        <v>0</v>
      </c>
      <c r="BG13" s="223">
        <v>0</v>
      </c>
      <c r="BH13" s="461">
        <f>BD13+BF13</f>
        <v>11000</v>
      </c>
      <c r="BI13" s="330">
        <v>17360</v>
      </c>
      <c r="BJ13" s="287">
        <f>BI13-BH13</f>
        <v>6360</v>
      </c>
      <c r="BK13" s="287">
        <v>7000</v>
      </c>
      <c r="BL13" s="371">
        <f>AR13-AT13-BB13</f>
        <v>1000</v>
      </c>
      <c r="BM13" s="223">
        <f>BK13+BL13</f>
        <v>8000</v>
      </c>
      <c r="BN13" s="296">
        <v>6360</v>
      </c>
      <c r="BO13" s="495">
        <f>BG13+BM13+1520</f>
        <v>9520</v>
      </c>
      <c r="BP13" s="508">
        <v>9520</v>
      </c>
      <c r="BQ13" s="504">
        <f>BO13-BP13</f>
        <v>0</v>
      </c>
      <c r="BR13" s="510">
        <v>1520</v>
      </c>
      <c r="BS13" s="301">
        <f t="shared" si="20"/>
        <v>43050</v>
      </c>
      <c r="BT13" s="476">
        <f>Q13+AE13+AO13+BS13</f>
        <v>184140</v>
      </c>
      <c r="BU13" s="136">
        <f t="shared" si="19"/>
        <v>184140</v>
      </c>
      <c r="BV13" s="478"/>
    </row>
    <row r="14" spans="1:74" s="7" customFormat="1" ht="21" customHeight="1" thickBot="1">
      <c r="A14" s="121"/>
      <c r="B14" s="55" t="s">
        <v>3</v>
      </c>
      <c r="C14" s="50">
        <v>163080</v>
      </c>
      <c r="D14" s="50">
        <f>SUM(D13:D13)</f>
        <v>10000</v>
      </c>
      <c r="E14" s="50">
        <f>SUM(E13:E13)</f>
        <v>12370</v>
      </c>
      <c r="F14" s="50">
        <v>0</v>
      </c>
      <c r="G14" s="50">
        <f aca="true" t="shared" si="25" ref="G14:M14">SUM(G13:G13)</f>
        <v>0</v>
      </c>
      <c r="H14" s="50">
        <f t="shared" si="25"/>
        <v>10000</v>
      </c>
      <c r="I14" s="50">
        <f t="shared" si="25"/>
        <v>0</v>
      </c>
      <c r="J14" s="50">
        <f t="shared" si="25"/>
        <v>10000</v>
      </c>
      <c r="K14" s="50">
        <f t="shared" si="25"/>
        <v>15600</v>
      </c>
      <c r="L14" s="50">
        <f t="shared" si="25"/>
        <v>-5600</v>
      </c>
      <c r="M14" s="50">
        <f t="shared" si="25"/>
        <v>10000</v>
      </c>
      <c r="N14" s="50"/>
      <c r="O14" s="50">
        <f>SUM(O13:O13)</f>
        <v>15960</v>
      </c>
      <c r="P14" s="50">
        <v>0</v>
      </c>
      <c r="Q14" s="173">
        <f aca="true" t="shared" si="26" ref="Q14:Z14">SUM(Q13:Q13)</f>
        <v>43930</v>
      </c>
      <c r="R14" s="173">
        <f t="shared" si="26"/>
        <v>10000</v>
      </c>
      <c r="S14" s="173">
        <f t="shared" si="26"/>
        <v>9920</v>
      </c>
      <c r="T14" s="173">
        <f t="shared" si="26"/>
        <v>80</v>
      </c>
      <c r="U14" s="50">
        <f t="shared" si="26"/>
        <v>0</v>
      </c>
      <c r="V14" s="50">
        <f t="shared" si="26"/>
        <v>0</v>
      </c>
      <c r="W14" s="50">
        <f t="shared" si="26"/>
        <v>77000</v>
      </c>
      <c r="X14" s="50">
        <f t="shared" si="26"/>
        <v>10000</v>
      </c>
      <c r="Y14" s="50">
        <f t="shared" si="26"/>
        <v>10000</v>
      </c>
      <c r="Z14" s="50">
        <f t="shared" si="26"/>
        <v>19840</v>
      </c>
      <c r="AA14" s="50">
        <v>0</v>
      </c>
      <c r="AB14" s="50">
        <f>SUM(AB13:AB13)</f>
        <v>10000</v>
      </c>
      <c r="AC14" s="50">
        <f>SUM(AC13:AC13)</f>
        <v>20000</v>
      </c>
      <c r="AD14" s="50"/>
      <c r="AE14" s="50">
        <f>SUM(AE13:AE13)</f>
        <v>49760</v>
      </c>
      <c r="AF14" s="50">
        <f>SUM(AF13:AF13)</f>
        <v>10000</v>
      </c>
      <c r="AG14" s="50">
        <f>SUM(AG13:AG13)</f>
        <v>16840</v>
      </c>
      <c r="AH14" s="50">
        <v>0</v>
      </c>
      <c r="AI14" s="50">
        <f>SUM(AI13:AI13)</f>
        <v>10000</v>
      </c>
      <c r="AJ14" s="50">
        <f>SUM(AJ13:AJ13)</f>
        <v>14800</v>
      </c>
      <c r="AK14" s="50">
        <v>0</v>
      </c>
      <c r="AL14" s="50">
        <f>SUM(AL13:AL13)</f>
        <v>10000</v>
      </c>
      <c r="AM14" s="50">
        <f>SUM(AM13:AM13)</f>
        <v>15760</v>
      </c>
      <c r="AN14" s="50">
        <v>0</v>
      </c>
      <c r="AO14" s="50">
        <f aca="true" t="shared" si="27" ref="AO14:AW14">SUM(AO13:AO13)</f>
        <v>47400</v>
      </c>
      <c r="AP14" s="50">
        <f t="shared" si="27"/>
        <v>0</v>
      </c>
      <c r="AQ14" s="50">
        <f t="shared" si="27"/>
        <v>0</v>
      </c>
      <c r="AR14" s="50">
        <f t="shared" si="27"/>
        <v>3000</v>
      </c>
      <c r="AS14" s="50">
        <f t="shared" si="27"/>
        <v>10000</v>
      </c>
      <c r="AT14" s="50">
        <f t="shared" si="27"/>
        <v>1000</v>
      </c>
      <c r="AU14" s="50">
        <f t="shared" si="27"/>
        <v>11000</v>
      </c>
      <c r="AV14" s="50">
        <f t="shared" si="27"/>
        <v>11000</v>
      </c>
      <c r="AW14" s="50">
        <f t="shared" si="27"/>
        <v>16170</v>
      </c>
      <c r="AX14" s="50">
        <v>0</v>
      </c>
      <c r="AY14" s="436"/>
      <c r="AZ14" s="50">
        <f aca="true" t="shared" si="28" ref="AZ14:BV14">SUM(AZ13:AZ13)</f>
        <v>0</v>
      </c>
      <c r="BA14" s="50">
        <f t="shared" si="28"/>
        <v>10000</v>
      </c>
      <c r="BB14" s="50">
        <f t="shared" si="28"/>
        <v>1000</v>
      </c>
      <c r="BC14" s="50">
        <f t="shared" si="28"/>
        <v>11000</v>
      </c>
      <c r="BD14" s="50">
        <f t="shared" si="28"/>
        <v>11000</v>
      </c>
      <c r="BE14" s="50">
        <f t="shared" si="28"/>
        <v>0</v>
      </c>
      <c r="BF14" s="50">
        <f t="shared" si="28"/>
        <v>0</v>
      </c>
      <c r="BG14" s="50">
        <f t="shared" si="28"/>
        <v>0</v>
      </c>
      <c r="BH14" s="50">
        <f t="shared" si="28"/>
        <v>11000</v>
      </c>
      <c r="BI14" s="50">
        <f t="shared" si="28"/>
        <v>17360</v>
      </c>
      <c r="BJ14" s="50">
        <f t="shared" si="28"/>
        <v>6360</v>
      </c>
      <c r="BK14" s="50">
        <f t="shared" si="28"/>
        <v>7000</v>
      </c>
      <c r="BL14" s="50">
        <f t="shared" si="28"/>
        <v>1000</v>
      </c>
      <c r="BM14" s="50">
        <f t="shared" si="28"/>
        <v>8000</v>
      </c>
      <c r="BN14" s="50">
        <f t="shared" si="28"/>
        <v>6360</v>
      </c>
      <c r="BO14" s="497">
        <f t="shared" si="28"/>
        <v>9520</v>
      </c>
      <c r="BP14" s="497">
        <f>SUM(BP13:BP13)</f>
        <v>9520</v>
      </c>
      <c r="BQ14" s="497">
        <f>SUM(BQ13:BQ13)</f>
        <v>0</v>
      </c>
      <c r="BR14" s="497">
        <f>SUM(BR13:BR13)</f>
        <v>1520</v>
      </c>
      <c r="BS14" s="50">
        <f t="shared" si="28"/>
        <v>43050</v>
      </c>
      <c r="BT14" s="50">
        <f t="shared" si="28"/>
        <v>184140</v>
      </c>
      <c r="BU14" s="481">
        <f t="shared" si="28"/>
        <v>184140</v>
      </c>
      <c r="BV14" s="50">
        <f t="shared" si="28"/>
        <v>0</v>
      </c>
    </row>
    <row r="15" spans="1:74" s="155" customFormat="1" ht="28.5" customHeight="1" thickBot="1">
      <c r="A15" s="153"/>
      <c r="B15" s="154" t="s">
        <v>4</v>
      </c>
      <c r="C15" s="43">
        <v>3643654.47</v>
      </c>
      <c r="D15" s="43">
        <f aca="true" t="shared" si="29" ref="D15:M15">D12+D14</f>
        <v>311450.93</v>
      </c>
      <c r="E15" s="43">
        <f t="shared" si="29"/>
        <v>346131.38999999996</v>
      </c>
      <c r="F15" s="35">
        <f t="shared" si="29"/>
        <v>5477.889999999999</v>
      </c>
      <c r="G15" s="43">
        <f t="shared" si="29"/>
        <v>205261.1030769231</v>
      </c>
      <c r="H15" s="43">
        <f t="shared" si="29"/>
        <v>282549.07</v>
      </c>
      <c r="I15" s="35">
        <f t="shared" si="29"/>
        <v>5477.89</v>
      </c>
      <c r="J15" s="43">
        <f t="shared" si="29"/>
        <v>299870.7</v>
      </c>
      <c r="K15" s="43">
        <f t="shared" si="29"/>
        <v>357557.91000000003</v>
      </c>
      <c r="L15" s="226">
        <f t="shared" si="29"/>
        <v>-57687.210000000014</v>
      </c>
      <c r="M15" s="43">
        <f t="shared" si="29"/>
        <v>288556.69</v>
      </c>
      <c r="N15" s="43"/>
      <c r="O15" s="43">
        <f aca="true" t="shared" si="30" ref="O15:AX15">O12+O14</f>
        <v>391776.66000000003</v>
      </c>
      <c r="P15" s="130">
        <f t="shared" si="30"/>
        <v>1.7300000000032014</v>
      </c>
      <c r="Q15" s="204">
        <f t="shared" si="30"/>
        <v>1095465.96</v>
      </c>
      <c r="R15" s="99">
        <f t="shared" si="30"/>
        <v>318855.64999999997</v>
      </c>
      <c r="S15" s="99">
        <f t="shared" si="30"/>
        <v>336623.68</v>
      </c>
      <c r="T15" s="130">
        <f t="shared" si="30"/>
        <v>1062.2099999999991</v>
      </c>
      <c r="U15" s="43">
        <f t="shared" si="30"/>
        <v>268091.919375</v>
      </c>
      <c r="V15" s="318">
        <f t="shared" si="30"/>
        <v>0</v>
      </c>
      <c r="W15" s="43">
        <f t="shared" si="30"/>
        <v>1923600</v>
      </c>
      <c r="X15" s="43">
        <f t="shared" si="30"/>
        <v>274743.92</v>
      </c>
      <c r="Y15" s="43">
        <f t="shared" si="30"/>
        <v>296054.07999999996</v>
      </c>
      <c r="Z15" s="43">
        <f t="shared" si="30"/>
        <v>387383.43999999994</v>
      </c>
      <c r="AA15" s="226">
        <f t="shared" si="30"/>
        <v>0</v>
      </c>
      <c r="AB15" s="43">
        <f t="shared" si="30"/>
        <v>315160.01</v>
      </c>
      <c r="AC15" s="43">
        <f t="shared" si="30"/>
        <v>393240.57</v>
      </c>
      <c r="AD15" s="130">
        <f t="shared" si="30"/>
        <v>1.2000000000043656</v>
      </c>
      <c r="AE15" s="204">
        <f t="shared" si="30"/>
        <v>1117247.69</v>
      </c>
      <c r="AF15" s="43">
        <f t="shared" si="30"/>
        <v>315057.8</v>
      </c>
      <c r="AG15" s="43">
        <f t="shared" si="30"/>
        <v>387906.53</v>
      </c>
      <c r="AH15" s="130">
        <f t="shared" si="30"/>
        <v>0</v>
      </c>
      <c r="AI15" s="43">
        <f t="shared" si="30"/>
        <v>310421.67</v>
      </c>
      <c r="AJ15" s="43">
        <f t="shared" si="30"/>
        <v>379198.16000000003</v>
      </c>
      <c r="AK15" s="130">
        <f t="shared" si="30"/>
        <v>105.59000000000378</v>
      </c>
      <c r="AL15" s="43">
        <f t="shared" si="30"/>
        <v>263142.67000000004</v>
      </c>
      <c r="AM15" s="43">
        <f t="shared" si="30"/>
        <v>343088.06</v>
      </c>
      <c r="AN15" s="130">
        <f t="shared" si="30"/>
        <v>1828.0900000000038</v>
      </c>
      <c r="AO15" s="43">
        <f t="shared" si="30"/>
        <v>1110192.75</v>
      </c>
      <c r="AP15" s="43">
        <f t="shared" si="30"/>
        <v>269782.6066666667</v>
      </c>
      <c r="AQ15" s="35">
        <f t="shared" si="30"/>
        <v>1934.88</v>
      </c>
      <c r="AR15" s="43">
        <f t="shared" si="30"/>
        <v>445800</v>
      </c>
      <c r="AS15" s="43">
        <f t="shared" si="30"/>
        <v>290000</v>
      </c>
      <c r="AT15" s="43">
        <f t="shared" si="30"/>
        <v>66000</v>
      </c>
      <c r="AU15" s="43">
        <f t="shared" si="30"/>
        <v>324247.69</v>
      </c>
      <c r="AV15" s="43">
        <f t="shared" si="30"/>
        <v>356043.45000000007</v>
      </c>
      <c r="AW15" s="43">
        <f t="shared" si="30"/>
        <v>429333.2899999999</v>
      </c>
      <c r="AX15" s="130">
        <f t="shared" si="30"/>
        <v>4714.230000000003</v>
      </c>
      <c r="AY15" s="437">
        <f>AY12</f>
        <v>324206.88700000005</v>
      </c>
      <c r="AZ15" s="130">
        <f aca="true" t="shared" si="31" ref="AZ15:BV15">AZ12+AZ14</f>
        <v>4714.230000000003</v>
      </c>
      <c r="BA15" s="43">
        <f t="shared" si="31"/>
        <v>136260</v>
      </c>
      <c r="BB15" s="43">
        <f t="shared" si="31"/>
        <v>188095</v>
      </c>
      <c r="BC15" s="43">
        <f t="shared" si="31"/>
        <v>294494.11999999994</v>
      </c>
      <c r="BD15" s="43">
        <f t="shared" si="31"/>
        <v>299208.35</v>
      </c>
      <c r="BE15" s="43">
        <f t="shared" si="31"/>
        <v>150000</v>
      </c>
      <c r="BF15" s="43">
        <f t="shared" si="31"/>
        <v>109393.07999999999</v>
      </c>
      <c r="BG15" s="43">
        <f t="shared" si="31"/>
        <v>52559.729999999996</v>
      </c>
      <c r="BH15" s="43">
        <f t="shared" si="31"/>
        <v>408601.43</v>
      </c>
      <c r="BI15" s="43">
        <f t="shared" si="31"/>
        <v>467154.01</v>
      </c>
      <c r="BJ15" s="43">
        <f t="shared" si="31"/>
        <v>58552.579999999994</v>
      </c>
      <c r="BK15" s="43">
        <f t="shared" si="31"/>
        <v>7000</v>
      </c>
      <c r="BL15" s="43">
        <f t="shared" si="31"/>
        <v>191705</v>
      </c>
      <c r="BM15" s="43">
        <f t="shared" si="31"/>
        <v>198705</v>
      </c>
      <c r="BN15" s="247">
        <f t="shared" si="31"/>
        <v>78585.20000000001</v>
      </c>
      <c r="BO15" s="498">
        <f t="shared" si="31"/>
        <v>502177.48000000004</v>
      </c>
      <c r="BP15" s="498">
        <f>BP12+BP14</f>
        <v>468226.41</v>
      </c>
      <c r="BQ15" s="509">
        <f>BQ12+BQ14</f>
        <v>33951.07</v>
      </c>
      <c r="BR15" s="498">
        <f>BR12+BR14</f>
        <v>69707.87</v>
      </c>
      <c r="BS15" s="43">
        <f t="shared" si="31"/>
        <v>1364713.71</v>
      </c>
      <c r="BT15" s="43">
        <f t="shared" si="31"/>
        <v>4687620.109999999</v>
      </c>
      <c r="BU15" s="43">
        <f t="shared" si="31"/>
        <v>4687620.11</v>
      </c>
      <c r="BV15" s="204">
        <f t="shared" si="31"/>
        <v>0</v>
      </c>
    </row>
    <row r="16" spans="1:73" s="42" customFormat="1" ht="25.5" customHeight="1" thickBot="1">
      <c r="A16" s="29"/>
      <c r="B16" s="40"/>
      <c r="C16" s="166"/>
      <c r="D16" s="210" t="s">
        <v>50</v>
      </c>
      <c r="E16" s="178">
        <f>-(F5+F7+F8+F10+F13)</f>
        <v>40158.35</v>
      </c>
      <c r="F16" s="234"/>
      <c r="G16" s="235">
        <f>F15*100/G15</f>
        <v>2.6687423568736843</v>
      </c>
      <c r="H16" s="31"/>
      <c r="I16" s="31"/>
      <c r="J16" s="541" t="s">
        <v>54</v>
      </c>
      <c r="K16" s="542"/>
      <c r="L16" s="233">
        <f>-L15</f>
        <v>57687.210000000014</v>
      </c>
      <c r="M16" s="228"/>
      <c r="N16" s="228"/>
      <c r="O16" s="229"/>
      <c r="P16" s="274">
        <f>-(P6+P7+P8+P9+P10+P11+P13)</f>
        <v>103221.70000000003</v>
      </c>
      <c r="Q16" s="134"/>
      <c r="R16" s="535" t="s">
        <v>54</v>
      </c>
      <c r="S16" s="536"/>
      <c r="T16" s="293">
        <f>-(T5+T8+T9+T10+T11)</f>
        <v>18830.23999999999</v>
      </c>
      <c r="U16" s="316" t="s">
        <v>92</v>
      </c>
      <c r="V16" s="317">
        <f>S19*100/U15</f>
        <v>0</v>
      </c>
      <c r="W16" s="134"/>
      <c r="X16" s="134"/>
      <c r="Y16" s="134"/>
      <c r="Z16" s="341" t="s">
        <v>50</v>
      </c>
      <c r="AA16" s="342">
        <f>-(AA15)</f>
        <v>0</v>
      </c>
      <c r="AB16" s="134"/>
      <c r="AC16" s="341" t="s">
        <v>50</v>
      </c>
      <c r="AD16" s="342">
        <f>-(AD5+AD7+AD8+AD9+AD10+AD11+AD13)</f>
        <v>78081.75999999998</v>
      </c>
      <c r="AE16" s="134"/>
      <c r="AF16" s="134"/>
      <c r="AG16" s="341" t="s">
        <v>50</v>
      </c>
      <c r="AH16" s="342">
        <f>-(AH5+AH6+AH7+AH8+AH9+AH11+AH13)</f>
        <v>72848.72999999998</v>
      </c>
      <c r="AI16" s="134"/>
      <c r="AJ16" s="341" t="s">
        <v>50</v>
      </c>
      <c r="AK16" s="342">
        <f>-(AK5+AK7+AK8+AK9+AK11+AK13)-83.06</f>
        <v>68799.02000000002</v>
      </c>
      <c r="AL16" s="157"/>
      <c r="AM16" s="341" t="s">
        <v>50</v>
      </c>
      <c r="AN16" s="342">
        <f>-(AN7+AN8+AN9+AN10+AN11+AN13)</f>
        <v>81773.48</v>
      </c>
      <c r="AO16" s="397"/>
      <c r="AP16" s="397"/>
      <c r="AQ16" s="397"/>
      <c r="AR16" s="397"/>
      <c r="AS16" s="398"/>
      <c r="AT16" s="31"/>
      <c r="AU16" s="31"/>
      <c r="AV16" s="31"/>
      <c r="AW16" s="341" t="s">
        <v>50</v>
      </c>
      <c r="AX16" s="342">
        <f>AX5+AX7+AX8+AX9+AX11+AX13</f>
        <v>78004.07447252629</v>
      </c>
      <c r="AY16" s="343" t="s">
        <v>129</v>
      </c>
      <c r="AZ16" s="438">
        <f>AX15*100/AY15</f>
        <v>1.454080770344648</v>
      </c>
      <c r="BA16" s="134"/>
      <c r="BB16" s="134"/>
      <c r="BC16" s="134"/>
      <c r="BD16" s="134"/>
      <c r="BE16" s="134"/>
      <c r="BF16" s="134"/>
      <c r="BG16" s="134"/>
      <c r="BH16" s="134"/>
      <c r="BI16" s="341" t="s">
        <v>50</v>
      </c>
      <c r="BJ16" s="342">
        <f>BN15</f>
        <v>78585.20000000001</v>
      </c>
      <c r="BK16" s="134"/>
      <c r="BL16" s="134"/>
      <c r="BM16" s="134"/>
      <c r="BN16" s="134"/>
      <c r="BO16" s="134"/>
      <c r="BP16" s="134"/>
      <c r="BQ16" s="341" t="s">
        <v>50</v>
      </c>
      <c r="BR16" s="293">
        <f>BR7+BR8+BR9+BR11+BR13</f>
        <v>69707.87</v>
      </c>
      <c r="BS16" s="134"/>
      <c r="BT16" s="230"/>
      <c r="BU16" s="206"/>
    </row>
    <row r="17" spans="1:73" s="42" customFormat="1" ht="25.5" customHeight="1" thickBot="1">
      <c r="A17" s="29"/>
      <c r="B17" s="40"/>
      <c r="C17" s="413"/>
      <c r="D17" s="134"/>
      <c r="E17" s="414"/>
      <c r="F17" s="229"/>
      <c r="G17" s="415"/>
      <c r="H17" s="31"/>
      <c r="I17" s="31"/>
      <c r="J17" s="248"/>
      <c r="K17" s="248"/>
      <c r="L17" s="416"/>
      <c r="M17" s="228"/>
      <c r="N17" s="228"/>
      <c r="O17" s="229"/>
      <c r="P17" s="298"/>
      <c r="Q17" s="134"/>
      <c r="R17" s="417"/>
      <c r="S17" s="417"/>
      <c r="T17" s="298"/>
      <c r="U17" s="298"/>
      <c r="V17" s="418"/>
      <c r="W17" s="134"/>
      <c r="X17" s="134"/>
      <c r="Y17" s="134"/>
      <c r="Z17" s="134"/>
      <c r="AA17" s="73"/>
      <c r="AB17" s="134"/>
      <c r="AC17" s="134"/>
      <c r="AD17" s="73"/>
      <c r="AE17" s="134"/>
      <c r="AF17" s="134"/>
      <c r="AG17" s="134"/>
      <c r="AH17" s="73"/>
      <c r="AI17" s="134"/>
      <c r="AJ17" s="134"/>
      <c r="AK17" s="73"/>
      <c r="AL17" s="134"/>
      <c r="AM17" s="343" t="s">
        <v>128</v>
      </c>
      <c r="AN17" s="407">
        <f>1.2+105.59+1828.09</f>
        <v>1934.8799999999999</v>
      </c>
      <c r="AO17" s="405" t="s">
        <v>129</v>
      </c>
      <c r="AP17" s="406">
        <f>AN17*100/AP15</f>
        <v>0.7171996830732181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134"/>
      <c r="BB17" s="134"/>
      <c r="BC17" s="134"/>
      <c r="BD17" s="134"/>
      <c r="BE17" s="134"/>
      <c r="BF17" s="134"/>
      <c r="BG17" s="134"/>
      <c r="BH17" s="134"/>
      <c r="BI17" s="157" t="s">
        <v>156</v>
      </c>
      <c r="BJ17" s="505">
        <f>-(BJ10)</f>
        <v>944.7632293031784</v>
      </c>
      <c r="BK17" s="134"/>
      <c r="BL17" s="134"/>
      <c r="BM17" s="134"/>
      <c r="BN17" s="134"/>
      <c r="BO17" s="134"/>
      <c r="BP17" s="134"/>
      <c r="BQ17" s="134"/>
      <c r="BR17" s="134"/>
      <c r="BS17" s="134"/>
      <c r="BT17" s="230"/>
      <c r="BU17" s="206"/>
    </row>
    <row r="18" spans="1:73" s="42" customFormat="1" ht="25.5" customHeight="1" thickBot="1">
      <c r="A18" s="29"/>
      <c r="B18" s="40"/>
      <c r="C18" s="413"/>
      <c r="D18" s="134"/>
      <c r="E18" s="414"/>
      <c r="F18" s="229"/>
      <c r="G18" s="415"/>
      <c r="H18" s="31"/>
      <c r="I18" s="31"/>
      <c r="J18" s="248"/>
      <c r="K18" s="248"/>
      <c r="L18" s="416"/>
      <c r="M18" s="228"/>
      <c r="N18" s="228"/>
      <c r="O18" s="229"/>
      <c r="P18" s="298"/>
      <c r="Q18" s="134"/>
      <c r="R18" s="417"/>
      <c r="S18" s="417"/>
      <c r="T18" s="298"/>
      <c r="U18" s="298"/>
      <c r="V18" s="418"/>
      <c r="W18" s="134"/>
      <c r="X18" s="134"/>
      <c r="Y18" s="134"/>
      <c r="Z18" s="134"/>
      <c r="AA18" s="73"/>
      <c r="AB18" s="134"/>
      <c r="AC18" s="134"/>
      <c r="AD18" s="73"/>
      <c r="AE18" s="134"/>
      <c r="AF18" s="134"/>
      <c r="AG18" s="134"/>
      <c r="AH18" s="73"/>
      <c r="AI18" s="134"/>
      <c r="AJ18" s="134"/>
      <c r="AK18" s="73"/>
      <c r="AL18" s="134"/>
      <c r="AM18" s="134"/>
      <c r="AN18" s="73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230"/>
      <c r="BU18" s="206"/>
    </row>
    <row r="19" spans="1:121" s="42" customFormat="1" ht="18.75" customHeight="1" thickBot="1">
      <c r="A19" s="29"/>
      <c r="B19" s="40"/>
      <c r="C19" s="64"/>
      <c r="D19" s="31"/>
      <c r="E19" s="41"/>
      <c r="F19" s="31"/>
      <c r="G19" s="31"/>
      <c r="H19" s="31"/>
      <c r="I19" s="31"/>
      <c r="J19" s="543"/>
      <c r="K19" s="543"/>
      <c r="L19" s="31"/>
      <c r="M19" s="31"/>
      <c r="N19" s="31"/>
      <c r="O19" s="236"/>
      <c r="P19" s="31"/>
      <c r="Q19" s="531"/>
      <c r="R19" s="532"/>
      <c r="S19" s="295"/>
      <c r="BT19" s="203"/>
      <c r="BU19" s="203"/>
      <c r="BV19" s="203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</row>
    <row r="20" spans="2:74" s="28" customFormat="1" ht="52.5" customHeight="1" thickBot="1">
      <c r="B20" s="57" t="s">
        <v>15</v>
      </c>
      <c r="C20" s="163" t="s">
        <v>43</v>
      </c>
      <c r="D20" s="18" t="s">
        <v>44</v>
      </c>
      <c r="E20" s="37" t="s">
        <v>17</v>
      </c>
      <c r="F20" s="70" t="s">
        <v>45</v>
      </c>
      <c r="G20" s="122" t="s">
        <v>32</v>
      </c>
      <c r="H20" s="18" t="s">
        <v>46</v>
      </c>
      <c r="I20" s="123" t="s">
        <v>47</v>
      </c>
      <c r="J20" s="125" t="s">
        <v>48</v>
      </c>
      <c r="K20" s="37" t="s">
        <v>18</v>
      </c>
      <c r="L20" s="70" t="s">
        <v>35</v>
      </c>
      <c r="M20" s="19" t="s">
        <v>63</v>
      </c>
      <c r="N20" s="252" t="s">
        <v>58</v>
      </c>
      <c r="O20" s="251" t="s">
        <v>31</v>
      </c>
      <c r="P20" s="70" t="s">
        <v>41</v>
      </c>
      <c r="Q20" s="171" t="s">
        <v>49</v>
      </c>
      <c r="R20" s="262" t="s">
        <v>65</v>
      </c>
      <c r="S20" s="37" t="s">
        <v>71</v>
      </c>
      <c r="T20" s="70" t="s">
        <v>72</v>
      </c>
      <c r="U20" s="314"/>
      <c r="V20" s="329" t="s">
        <v>90</v>
      </c>
      <c r="W20" s="277" t="s">
        <v>73</v>
      </c>
      <c r="X20" s="262" t="s">
        <v>67</v>
      </c>
      <c r="Y20" s="319" t="s">
        <v>91</v>
      </c>
      <c r="Z20" s="37" t="s">
        <v>94</v>
      </c>
      <c r="AA20" s="70" t="s">
        <v>95</v>
      </c>
      <c r="AB20" s="262" t="s">
        <v>68</v>
      </c>
      <c r="AC20" s="37" t="s">
        <v>98</v>
      </c>
      <c r="AD20" s="70" t="s">
        <v>99</v>
      </c>
      <c r="AE20" s="171" t="s">
        <v>66</v>
      </c>
      <c r="AF20" s="300" t="s">
        <v>75</v>
      </c>
      <c r="AG20" s="37" t="s">
        <v>102</v>
      </c>
      <c r="AH20" s="70" t="s">
        <v>103</v>
      </c>
      <c r="AI20" s="300" t="s">
        <v>74</v>
      </c>
      <c r="AJ20" s="37" t="s">
        <v>108</v>
      </c>
      <c r="AK20" s="70" t="s">
        <v>109</v>
      </c>
      <c r="AL20" s="262" t="s">
        <v>86</v>
      </c>
      <c r="AM20" s="37" t="s">
        <v>120</v>
      </c>
      <c r="AN20" s="70" t="s">
        <v>121</v>
      </c>
      <c r="AO20" s="299" t="s">
        <v>123</v>
      </c>
      <c r="AP20" s="123"/>
      <c r="AQ20" s="410" t="s">
        <v>127</v>
      </c>
      <c r="AR20" s="252" t="s">
        <v>112</v>
      </c>
      <c r="AS20" s="300" t="s">
        <v>77</v>
      </c>
      <c r="AT20" s="370" t="s">
        <v>113</v>
      </c>
      <c r="AU20" s="372" t="s">
        <v>114</v>
      </c>
      <c r="AV20" s="412" t="s">
        <v>131</v>
      </c>
      <c r="AW20" s="37" t="s">
        <v>132</v>
      </c>
      <c r="AX20" s="70" t="s">
        <v>133</v>
      </c>
      <c r="AY20" s="314"/>
      <c r="AZ20" s="439" t="s">
        <v>136</v>
      </c>
      <c r="BA20" s="300" t="s">
        <v>78</v>
      </c>
      <c r="BB20" s="370" t="s">
        <v>113</v>
      </c>
      <c r="BC20" s="123" t="s">
        <v>115</v>
      </c>
      <c r="BD20" s="412" t="s">
        <v>137</v>
      </c>
      <c r="BE20" s="449" t="s">
        <v>138</v>
      </c>
      <c r="BF20" s="451" t="s">
        <v>139</v>
      </c>
      <c r="BG20" s="452" t="s">
        <v>140</v>
      </c>
      <c r="BH20" s="460" t="s">
        <v>141</v>
      </c>
      <c r="BI20" s="37" t="s">
        <v>144</v>
      </c>
      <c r="BJ20" s="70" t="s">
        <v>149</v>
      </c>
      <c r="BK20" s="300" t="s">
        <v>79</v>
      </c>
      <c r="BL20" s="370" t="s">
        <v>113</v>
      </c>
      <c r="BM20" s="123" t="s">
        <v>143</v>
      </c>
      <c r="BN20" s="340" t="s">
        <v>150</v>
      </c>
      <c r="BO20" s="460" t="s">
        <v>142</v>
      </c>
      <c r="BP20" s="37" t="s">
        <v>153</v>
      </c>
      <c r="BQ20" s="70" t="s">
        <v>154</v>
      </c>
      <c r="BR20" s="340" t="s">
        <v>155</v>
      </c>
      <c r="BS20" s="299" t="s">
        <v>157</v>
      </c>
      <c r="BT20" s="202" t="s">
        <v>116</v>
      </c>
      <c r="BU20" s="480" t="s">
        <v>158</v>
      </c>
      <c r="BV20" s="89" t="s">
        <v>97</v>
      </c>
    </row>
    <row r="21" spans="2:74" s="28" customFormat="1" ht="27.75" customHeight="1" thickBot="1">
      <c r="B21" s="58" t="s">
        <v>12</v>
      </c>
      <c r="C21" s="164">
        <v>6934030.47</v>
      </c>
      <c r="D21" s="59" t="e">
        <f>D15+#REF!</f>
        <v>#REF!</v>
      </c>
      <c r="E21" s="60" t="e">
        <f>E15+#REF!</f>
        <v>#REF!</v>
      </c>
      <c r="F21" s="68" t="e">
        <f>F15+#REF!</f>
        <v>#REF!</v>
      </c>
      <c r="G21" s="128"/>
      <c r="H21" s="80" t="e">
        <f>H15+#REF!</f>
        <v>#REF!</v>
      </c>
      <c r="I21" s="78" t="e">
        <f>I15+#REF!</f>
        <v>#REF!</v>
      </c>
      <c r="J21" s="240" t="e">
        <f>J15+#REF!</f>
        <v>#REF!</v>
      </c>
      <c r="K21" s="241" t="e">
        <f>K15+#REF!</f>
        <v>#REF!</v>
      </c>
      <c r="L21" s="242" t="e">
        <f>#REF!</f>
        <v>#REF!</v>
      </c>
      <c r="M21" s="243" t="e">
        <f>M15+#REF!</f>
        <v>#REF!</v>
      </c>
      <c r="N21" s="253" t="e">
        <f>M15+#REF!</f>
        <v>#REF!</v>
      </c>
      <c r="O21" s="244" t="e">
        <f>O15+#REF!</f>
        <v>#REF!</v>
      </c>
      <c r="P21" s="78" t="e">
        <f>P15+#REF!</f>
        <v>#REF!</v>
      </c>
      <c r="Q21" s="246">
        <f>Q15+'AN2022 final-R'!S22</f>
        <v>1966512.96</v>
      </c>
      <c r="R21" s="245" t="e">
        <f>R15+#REF!</f>
        <v>#REF!</v>
      </c>
      <c r="S21" s="292" t="e">
        <f>S15+#REF!</f>
        <v>#REF!</v>
      </c>
      <c r="T21" s="245" t="e">
        <f>T15+#REF!</f>
        <v>#REF!</v>
      </c>
      <c r="U21" s="245"/>
      <c r="V21" s="78" t="e">
        <f>V15+#REF!</f>
        <v>#REF!</v>
      </c>
      <c r="W21" s="253" t="e">
        <f>W15+#REF!</f>
        <v>#REF!</v>
      </c>
      <c r="X21" s="245" t="e">
        <f>X15+#REF!</f>
        <v>#REF!</v>
      </c>
      <c r="Y21" s="321" t="e">
        <f>Y15+#REF!</f>
        <v>#REF!</v>
      </c>
      <c r="Z21" s="292" t="e">
        <f>Z15+#REF!</f>
        <v>#REF!</v>
      </c>
      <c r="AA21" s="78" t="e">
        <f>#REF!</f>
        <v>#REF!</v>
      </c>
      <c r="AB21" s="245" t="e">
        <f>AB15+#REF!</f>
        <v>#REF!</v>
      </c>
      <c r="AC21" s="292" t="e">
        <f>AC15+#REF!</f>
        <v>#REF!</v>
      </c>
      <c r="AD21" s="78" t="e">
        <f>AD15+#REF!</f>
        <v>#REF!</v>
      </c>
      <c r="AE21" s="312">
        <f>AE15+'AN2022 final-R'!AG22</f>
        <v>1902550.69</v>
      </c>
      <c r="AF21" s="245" t="e">
        <f>AF15+#REF!</f>
        <v>#REF!</v>
      </c>
      <c r="AG21" s="292" t="e">
        <f>AG15+#REF!</f>
        <v>#REF!</v>
      </c>
      <c r="AH21" s="78" t="e">
        <f>AH15+#REF!</f>
        <v>#REF!</v>
      </c>
      <c r="AI21" s="245" t="e">
        <f>AI15+#REF!</f>
        <v>#REF!</v>
      </c>
      <c r="AJ21" s="292" t="e">
        <f>AJ15+#REF!</f>
        <v>#REF!</v>
      </c>
      <c r="AK21" s="78" t="e">
        <f>AK15+#REF!</f>
        <v>#REF!</v>
      </c>
      <c r="AL21" s="245" t="e">
        <f>AL15+#REF!</f>
        <v>#REF!</v>
      </c>
      <c r="AM21" s="292" t="e">
        <f>AM15+#REF!</f>
        <v>#REF!</v>
      </c>
      <c r="AN21" s="78" t="e">
        <f>AN15+#REF!</f>
        <v>#REF!</v>
      </c>
      <c r="AO21" s="312">
        <f>AO15+'AN2022 final-R'!AQ22</f>
        <v>1952215.75</v>
      </c>
      <c r="AP21" s="419"/>
      <c r="AQ21" s="78" t="e">
        <f>AQ15+#REF!</f>
        <v>#REF!</v>
      </c>
      <c r="AR21" s="253" t="e">
        <f>AR15+#REF!</f>
        <v>#REF!</v>
      </c>
      <c r="AS21" s="245" t="e">
        <f>AS15+#REF!</f>
        <v>#REF!</v>
      </c>
      <c r="AT21" s="374" t="e">
        <f>AT15+#REF!</f>
        <v>#REF!</v>
      </c>
      <c r="AU21" s="375" t="e">
        <f>AU15+#REF!</f>
        <v>#REF!</v>
      </c>
      <c r="AV21" s="245" t="e">
        <f>AV15+#REF!</f>
        <v>#REF!</v>
      </c>
      <c r="AW21" s="292" t="e">
        <f>AW15+#REF!</f>
        <v>#REF!</v>
      </c>
      <c r="AX21" s="78" t="e">
        <f>AX15+#REF!</f>
        <v>#REF!</v>
      </c>
      <c r="AY21" s="245"/>
      <c r="AZ21" s="78" t="e">
        <f>AZ15+#REF!</f>
        <v>#REF!</v>
      </c>
      <c r="BA21" s="245" t="e">
        <f>BA15+#REF!</f>
        <v>#REF!</v>
      </c>
      <c r="BB21" s="374" t="e">
        <f>BB15+#REF!</f>
        <v>#REF!</v>
      </c>
      <c r="BC21" s="245" t="e">
        <f>BC15+#REF!</f>
        <v>#REF!</v>
      </c>
      <c r="BD21" s="245" t="e">
        <f>BD15+#REF!</f>
        <v>#REF!</v>
      </c>
      <c r="BE21" s="253" t="e">
        <f>BE15+#REF!</f>
        <v>#REF!</v>
      </c>
      <c r="BF21" s="245" t="e">
        <f>BF15+#REF!</f>
        <v>#REF!</v>
      </c>
      <c r="BG21" s="245" t="e">
        <f>BG15+#REF!</f>
        <v>#REF!</v>
      </c>
      <c r="BH21" s="462" t="e">
        <f>BH15+#REF!</f>
        <v>#REF!</v>
      </c>
      <c r="BI21" s="475" t="e">
        <f>BI15+#REF!</f>
        <v>#REF!</v>
      </c>
      <c r="BJ21" s="468" t="e">
        <f>BJ15+#REF!</f>
        <v>#REF!</v>
      </c>
      <c r="BK21" s="245" t="e">
        <f>BK15+#REF!</f>
        <v>#REF!</v>
      </c>
      <c r="BL21" s="374" t="e">
        <f>BL15+#REF!</f>
        <v>#REF!</v>
      </c>
      <c r="BM21" s="245" t="e">
        <f>BM15+#REF!</f>
        <v>#REF!</v>
      </c>
      <c r="BN21" s="180" t="e">
        <f>BN15+#REF!</f>
        <v>#REF!</v>
      </c>
      <c r="BO21" s="462">
        <f>BO15+'AN2022 final-R'!BQ22</f>
        <v>968314.7545319201</v>
      </c>
      <c r="BP21" s="475">
        <f>BP15+'AN2022 final-R'!BR22</f>
        <v>933500.4099999999</v>
      </c>
      <c r="BQ21" s="468">
        <f>'AN2022 final-R'!BS22</f>
        <v>863.2745319200276</v>
      </c>
      <c r="BR21" s="179">
        <f>BR16+'AN2022 final-R'!BS23</f>
        <v>69707.87</v>
      </c>
      <c r="BS21" s="246">
        <f>BS15+'AN2022 final-R'!BU22</f>
        <v>2702746.71</v>
      </c>
      <c r="BT21" s="302">
        <f>BT15+'AN2022 final-R'!BV22</f>
        <v>8524026.11</v>
      </c>
      <c r="BU21" s="303">
        <f>BU15+'AN2022 final-R'!BW22</f>
        <v>8524026.11</v>
      </c>
      <c r="BV21" s="245"/>
    </row>
    <row r="22" spans="3:73" ht="41.25" customHeight="1" thickBot="1">
      <c r="C22" s="211" t="s">
        <v>93</v>
      </c>
      <c r="D22" s="165">
        <v>82730.46999999974</v>
      </c>
      <c r="E22" s="247" t="s">
        <v>55</v>
      </c>
      <c r="F22" s="213" t="e">
        <f>E16+#REF!</f>
        <v>#REF!</v>
      </c>
      <c r="G22" s="539" t="s">
        <v>53</v>
      </c>
      <c r="H22" s="540"/>
      <c r="I22" s="540"/>
      <c r="J22" s="544" t="s">
        <v>59</v>
      </c>
      <c r="K22" s="545"/>
      <c r="L22" s="170" t="e">
        <f>L16+#REF!</f>
        <v>#REF!</v>
      </c>
      <c r="N22" s="537" t="s">
        <v>70</v>
      </c>
      <c r="O22" s="538"/>
      <c r="P22" s="185" t="e">
        <f>P16+#REF!</f>
        <v>#REF!</v>
      </c>
      <c r="Q22" s="239"/>
      <c r="R22" s="537" t="s">
        <v>87</v>
      </c>
      <c r="S22" s="538"/>
      <c r="T22" s="185" t="e">
        <f>T16+#REF!</f>
        <v>#REF!</v>
      </c>
      <c r="U22" s="239"/>
      <c r="V22" s="239"/>
      <c r="W22" s="239"/>
      <c r="X22" s="313" t="e">
        <f>S19+#REF!</f>
        <v>#REF!</v>
      </c>
      <c r="Y22" s="537" t="s">
        <v>96</v>
      </c>
      <c r="Z22" s="538"/>
      <c r="AA22" s="340" t="e">
        <f>AA16+#REF!</f>
        <v>#REF!</v>
      </c>
      <c r="AB22" s="537" t="s">
        <v>101</v>
      </c>
      <c r="AC22" s="538"/>
      <c r="AD22" s="340" t="e">
        <f>AD16+#REF!</f>
        <v>#REF!</v>
      </c>
      <c r="AE22" s="239"/>
      <c r="AF22" s="239"/>
      <c r="AG22" s="537" t="s">
        <v>104</v>
      </c>
      <c r="AH22" s="538"/>
      <c r="AI22" s="340" t="e">
        <f>AH16+#REF!</f>
        <v>#REF!</v>
      </c>
      <c r="AJ22" s="363" t="s">
        <v>110</v>
      </c>
      <c r="AK22" s="185" t="e">
        <f>AK16+#REF!</f>
        <v>#REF!</v>
      </c>
      <c r="AL22" s="399"/>
      <c r="AM22" s="363" t="s">
        <v>122</v>
      </c>
      <c r="AN22" s="185" t="e">
        <f>AN16+#REF!</f>
        <v>#REF!</v>
      </c>
      <c r="AO22" s="400"/>
      <c r="AP22" s="400"/>
      <c r="AQ22" s="400"/>
      <c r="AR22" s="400"/>
      <c r="AS22" s="401"/>
      <c r="AT22" s="239"/>
      <c r="AU22" s="239"/>
      <c r="AV22" s="239"/>
      <c r="AW22" s="363" t="s">
        <v>134</v>
      </c>
      <c r="AX22" s="185" t="e">
        <f>AX16+#REF!</f>
        <v>#REF!</v>
      </c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363" t="s">
        <v>148</v>
      </c>
      <c r="BJ22" s="185" t="e">
        <f>BJ16+#REF!</f>
        <v>#REF!</v>
      </c>
      <c r="BK22" s="239"/>
      <c r="BL22" s="239"/>
      <c r="BM22" s="239"/>
      <c r="BN22" s="239"/>
      <c r="BO22" s="239">
        <f>BO21-BQ15</f>
        <v>934363.6845319201</v>
      </c>
      <c r="BP22" s="363" t="s">
        <v>159</v>
      </c>
      <c r="BQ22" s="185">
        <f>BR16+'AN2022 final-R'!BS23</f>
        <v>69707.87</v>
      </c>
      <c r="BR22" s="239"/>
      <c r="BS22" s="239"/>
      <c r="BT22" s="524" t="s">
        <v>162</v>
      </c>
      <c r="BU22" s="525">
        <f>82730+BU21</f>
        <v>8606756.11</v>
      </c>
    </row>
    <row r="23" spans="2:75" ht="31.5" customHeight="1" thickBot="1">
      <c r="B23" s="207" t="s">
        <v>60</v>
      </c>
      <c r="C23" s="208">
        <v>1485000</v>
      </c>
      <c r="D23" s="150"/>
      <c r="E23" s="180" t="e">
        <f>F22+L22</f>
        <v>#REF!</v>
      </c>
      <c r="F23" s="255" t="s">
        <v>61</v>
      </c>
      <c r="G23" s="150"/>
      <c r="H23" s="150"/>
      <c r="I23" s="150"/>
      <c r="J23" s="83"/>
      <c r="K23" s="109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350" t="s">
        <v>100</v>
      </c>
      <c r="AD23" s="351" t="e">
        <f>#REF!</f>
        <v>#REF!</v>
      </c>
      <c r="AE23" s="83"/>
      <c r="AF23" s="83"/>
      <c r="AG23" s="83"/>
      <c r="AH23" s="83"/>
      <c r="AI23" s="83" t="e">
        <f>AI22-82730</f>
        <v>#REF!</v>
      </c>
      <c r="AJ23" s="83"/>
      <c r="AK23" s="364"/>
      <c r="AL23" s="365" t="e">
        <f>AK22+AS22</f>
        <v>#REF!</v>
      </c>
      <c r="AM23" s="390"/>
      <c r="AN23" s="390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 t="s">
        <v>111</v>
      </c>
      <c r="BB23" s="83"/>
      <c r="BC23" s="83"/>
      <c r="BD23" s="83"/>
      <c r="BE23" s="83"/>
      <c r="BF23" s="83"/>
      <c r="BG23" s="83"/>
      <c r="BH23" s="546" t="s">
        <v>156</v>
      </c>
      <c r="BI23" s="547"/>
      <c r="BJ23" s="506">
        <f>BJ17+'AN2022 final-R'!BL25</f>
        <v>944.7632293031784</v>
      </c>
      <c r="BK23" s="83"/>
      <c r="BL23" s="83"/>
      <c r="BM23" s="83"/>
      <c r="BN23" s="83"/>
      <c r="BO23" s="83"/>
      <c r="BP23" s="83"/>
      <c r="BQ23" s="83"/>
      <c r="BR23" s="83"/>
      <c r="BS23" s="557"/>
      <c r="BT23" s="558" t="s">
        <v>161</v>
      </c>
      <c r="BU23" s="559">
        <f>8640910-82730-BU21</f>
        <v>34153.890000000596</v>
      </c>
      <c r="BV23" s="129"/>
      <c r="BW23" s="129"/>
    </row>
    <row r="24" spans="2:73" ht="25.5" customHeight="1" hidden="1" thickBot="1">
      <c r="B24" s="141"/>
      <c r="C24" s="142">
        <v>466000</v>
      </c>
      <c r="D24" s="151"/>
      <c r="E24" s="222"/>
      <c r="F24" s="151"/>
      <c r="G24" s="151"/>
      <c r="H24" s="151"/>
      <c r="I24" s="151"/>
      <c r="J24" s="237" t="s">
        <v>37</v>
      </c>
      <c r="K24" s="238" t="e">
        <f>L16+#REF!</f>
        <v>#REF!</v>
      </c>
      <c r="L24" s="151"/>
      <c r="M24" s="151"/>
      <c r="N24" s="151"/>
      <c r="O24" s="151"/>
      <c r="P24" s="151"/>
      <c r="Q24" s="146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403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109" t="e">
        <f>#REF!</f>
        <v>#REF!</v>
      </c>
      <c r="BU24" s="41" t="e">
        <f>BU23-#REF!</f>
        <v>#REF!</v>
      </c>
    </row>
    <row r="25" spans="2:73" ht="25.5" customHeight="1" hidden="1" thickBot="1">
      <c r="B25" s="144"/>
      <c r="C25" s="148"/>
      <c r="D25" s="145"/>
      <c r="E25" s="145"/>
      <c r="F25" s="145"/>
      <c r="G25" s="145"/>
      <c r="H25" s="145"/>
      <c r="I25" s="145"/>
      <c r="J25" s="145"/>
      <c r="K25" s="145"/>
      <c r="L25" s="145"/>
      <c r="M25" s="145" t="s">
        <v>38</v>
      </c>
      <c r="N25" s="145"/>
      <c r="O25" s="145"/>
      <c r="P25" s="145"/>
      <c r="Q25" s="148" t="e">
        <f>C23+Q23-K24</f>
        <v>#REF!</v>
      </c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147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109">
        <v>667000</v>
      </c>
      <c r="BU25" s="189"/>
    </row>
    <row r="26" spans="2:73" ht="25.5" customHeight="1" hidden="1" thickBot="1">
      <c r="B26" s="174"/>
      <c r="C26" s="181">
        <v>3070000</v>
      </c>
      <c r="D26" s="149"/>
      <c r="E26" s="187">
        <v>3186320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2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109" t="e">
        <f>BT24-BT25</f>
        <v>#REF!</v>
      </c>
      <c r="BU26" s="36"/>
    </row>
    <row r="27" spans="2:73" ht="19.5" customHeight="1" hidden="1" thickBot="1">
      <c r="B27" s="174"/>
      <c r="C27" s="192">
        <v>72293.07</v>
      </c>
      <c r="D27" s="193"/>
      <c r="E27" s="193">
        <v>3323950</v>
      </c>
      <c r="Q27" s="2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109"/>
      <c r="BU27" s="36"/>
    </row>
    <row r="28" spans="2:73" ht="25.5" customHeight="1" hidden="1" thickBot="1">
      <c r="B28" s="195"/>
      <c r="C28" s="196">
        <v>3982180</v>
      </c>
      <c r="Q28" s="139">
        <v>3982180</v>
      </c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188"/>
      <c r="BU28" s="190"/>
    </row>
    <row r="29" spans="2:73" ht="24" customHeight="1" thickBot="1">
      <c r="B29" s="174"/>
      <c r="C29" s="197"/>
      <c r="D29" s="198"/>
      <c r="E29" s="199"/>
      <c r="AM29" s="28" t="s">
        <v>125</v>
      </c>
      <c r="AN29" s="28" t="s">
        <v>124</v>
      </c>
      <c r="AO29" s="69"/>
      <c r="AP29" s="69"/>
      <c r="AQ29" s="69"/>
      <c r="AZ29" s="93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3"/>
      <c r="BT29" s="469"/>
      <c r="BU29" s="470"/>
    </row>
    <row r="30" spans="2:72" ht="24.75" customHeight="1" thickBot="1">
      <c r="B30" s="200" t="s">
        <v>145</v>
      </c>
      <c r="C30" s="209" t="s">
        <v>151</v>
      </c>
      <c r="D30" s="212" t="s">
        <v>88</v>
      </c>
      <c r="E30" s="169"/>
      <c r="F30" s="254"/>
      <c r="G30" s="254"/>
      <c r="H30" s="254"/>
      <c r="I30" s="254"/>
      <c r="J30" s="254"/>
      <c r="K30" s="254"/>
      <c r="L30" s="254"/>
      <c r="M30" s="254"/>
      <c r="N30" s="194"/>
      <c r="O30" s="194"/>
      <c r="P30" s="194"/>
      <c r="Q30" s="549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48"/>
      <c r="AD30" s="550"/>
      <c r="AE30" s="551"/>
      <c r="AF30" s="552"/>
      <c r="AG30" s="552"/>
      <c r="AH30" s="552"/>
      <c r="AI30" s="552"/>
      <c r="AJ30" s="552"/>
      <c r="AK30" s="552"/>
      <c r="AL30" s="552"/>
      <c r="AM30" s="552"/>
      <c r="AN30" s="553" t="s">
        <v>126</v>
      </c>
      <c r="AO30" s="554"/>
      <c r="AP30" s="554"/>
      <c r="AQ30" s="554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1"/>
      <c r="BJ30" s="552"/>
      <c r="BK30" s="552"/>
      <c r="BL30" s="552"/>
      <c r="BM30" s="552"/>
      <c r="BN30" s="552"/>
      <c r="BO30" s="552"/>
      <c r="BP30" s="552"/>
      <c r="BQ30" s="552"/>
      <c r="BR30" s="552"/>
      <c r="BS30" s="555" t="s">
        <v>152</v>
      </c>
      <c r="BT30" s="556">
        <v>967654.3</v>
      </c>
    </row>
    <row r="31" spans="2:3" ht="18" customHeight="1">
      <c r="B31" s="471" t="s">
        <v>146</v>
      </c>
      <c r="C31" s="472"/>
    </row>
    <row r="32" spans="2:73" ht="15.75" customHeight="1" thickBot="1">
      <c r="B32" s="473" t="s">
        <v>147</v>
      </c>
      <c r="C32" s="474">
        <v>465000</v>
      </c>
      <c r="BT32" s="143"/>
      <c r="BU32" s="420">
        <v>44939</v>
      </c>
    </row>
    <row r="33" spans="2:3" ht="18.75" customHeight="1">
      <c r="B33" s="471" t="s">
        <v>160</v>
      </c>
      <c r="C33" s="472"/>
    </row>
    <row r="34" spans="2:3" ht="15.75" customHeight="1" thickBot="1">
      <c r="B34" s="473" t="s">
        <v>147</v>
      </c>
      <c r="C34" s="474">
        <v>336000</v>
      </c>
    </row>
  </sheetData>
  <sheetProtection/>
  <mergeCells count="12">
    <mergeCell ref="BH23:BI23"/>
    <mergeCell ref="AG22:AH22"/>
    <mergeCell ref="AB22:AC22"/>
    <mergeCell ref="Y22:Z22"/>
    <mergeCell ref="R16:S16"/>
    <mergeCell ref="R22:S22"/>
    <mergeCell ref="Q19:R19"/>
    <mergeCell ref="G22:I22"/>
    <mergeCell ref="N22:O22"/>
    <mergeCell ref="J16:K16"/>
    <mergeCell ref="J19:K19"/>
    <mergeCell ref="J22:K22"/>
  </mergeCells>
  <printOptions/>
  <pageMargins left="0.17" right="0.17" top="0.48" bottom="0.21" header="0.68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2023-01-13T13:49:16Z</cp:lastPrinted>
  <dcterms:created xsi:type="dcterms:W3CDTF">2010-05-25T05:24:31Z</dcterms:created>
  <dcterms:modified xsi:type="dcterms:W3CDTF">2023-02-14T08:23:30Z</dcterms:modified>
  <cp:category/>
  <cp:version/>
  <cp:contentType/>
  <cp:contentStatus/>
</cp:coreProperties>
</file>