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85" tabRatio="784" activeTab="0"/>
  </bookViews>
  <sheets>
    <sheet name="dupa SEPT-L " sheetId="1" r:id="rId1"/>
    <sheet name="dupa SEPT-R " sheetId="2" r:id="rId2"/>
  </sheets>
  <definedNames>
    <definedName name="_xlnm.Print_Titles" localSheetId="0">'dupa SEPT-L '!$4:$4</definedName>
    <definedName name="_xlnm.Print_Titles" localSheetId="1">'dupa SEPT-R '!$4:$4</definedName>
    <definedName name="_xlnm.Print_Area" localSheetId="0">'dupa SEPT-L '!$A$1:$BE$29</definedName>
    <definedName name="_xlnm.Print_Area" localSheetId="1">'dupa SEPT-R '!$A$1:$BJ$28</definedName>
  </definedNames>
  <calcPr fullCalcOnLoad="1"/>
</workbook>
</file>

<file path=xl/sharedStrings.xml><?xml version="1.0" encoding="utf-8"?>
<sst xmlns="http://schemas.openxmlformats.org/spreadsheetml/2006/main" count="277" uniqueCount="142">
  <si>
    <t xml:space="preserve">Furnizor </t>
  </si>
  <si>
    <t>TOTAL RADIOLOGIE</t>
  </si>
  <si>
    <t>TOTAL I - analize laborator</t>
  </si>
  <si>
    <t>TOTAL II - anatomo-patologie</t>
  </si>
  <si>
    <t>TOTAL I+II - LABORATOARE</t>
  </si>
  <si>
    <t>CASA DE ASIGURARI DE SANATATE  BRAILA</t>
  </si>
  <si>
    <t>SC R.I.M. DR BANCEANU ELENA</t>
  </si>
  <si>
    <t>Sp. Judetean - radiologie-imagistica amb.</t>
  </si>
  <si>
    <t>SP de Pneumoftiziologie - rad.ambulator</t>
  </si>
  <si>
    <t xml:space="preserve">Nr furn </t>
  </si>
  <si>
    <t>SC R.I.M. DR. COSMESCU PETRE</t>
  </si>
  <si>
    <t>TOTAL ECOGRAFII + RAD.dentara</t>
  </si>
  <si>
    <t>Policlinica copii "VENETIA" - EKO</t>
  </si>
  <si>
    <t>Cytopath S.R.L. Braila (Histopatologie)</t>
  </si>
  <si>
    <t>TOTAL SUME PARACLINICE (laboratoare + radiologie)</t>
  </si>
  <si>
    <t>RADOVA MEDICAL - EKO</t>
  </si>
  <si>
    <t>IAN realizat</t>
  </si>
  <si>
    <t>FEB realizat</t>
  </si>
  <si>
    <t>DR. VODA RALUCA - EKO</t>
  </si>
  <si>
    <t>DR. MARDARE SEBASTIAN -EKO</t>
  </si>
  <si>
    <t>DR CRISTEA ELENA - EKO</t>
  </si>
  <si>
    <t>DR.Stamate Maria-Magdalena- Rad dent.</t>
  </si>
  <si>
    <t>Spital FAUREI - EKO cabinete spec.</t>
  </si>
  <si>
    <t>SP JUDETEAN - EKO cabinete spec.</t>
  </si>
  <si>
    <t>SC DIAMED CENTER S.R.L.</t>
  </si>
  <si>
    <t>MEDICOTEST</t>
  </si>
  <si>
    <t xml:space="preserve">CMI Varzaru Victoria  </t>
  </si>
  <si>
    <t>SC INVESTIGATII PRAXIS</t>
  </si>
  <si>
    <t>Sp de Pneumoftiziologie - laborator ambulatoriu</t>
  </si>
  <si>
    <t>MAR realizat</t>
  </si>
  <si>
    <t>Medie realizari 13 luni (pt cei ce au realizat ctr)</t>
  </si>
  <si>
    <t>% pt Reg=</t>
  </si>
  <si>
    <t>ANEXA 1</t>
  </si>
  <si>
    <t>Suma nerealizata FEB2021 (cu - in SIUI)</t>
  </si>
  <si>
    <t>suplim Monitor=</t>
  </si>
  <si>
    <t xml:space="preserve">Rezerva = </t>
  </si>
  <si>
    <t>Verificare =</t>
  </si>
  <si>
    <t>TOTAL RADIOLOGIE-IMAGISTICA</t>
  </si>
  <si>
    <t>Medie realizari 3 luni (pt cei ce au realizat ctr)</t>
  </si>
  <si>
    <t>Pentru regularizare =</t>
  </si>
  <si>
    <t>SC NEWVITALCLINIC SRL</t>
  </si>
  <si>
    <t>FEB2022</t>
  </si>
  <si>
    <t>Monitorizari</t>
  </si>
  <si>
    <t>din care Covid=8110,98 /Onco=89579,15/ Diab=5007,76lei</t>
  </si>
  <si>
    <t xml:space="preserve">Monitorizari = </t>
  </si>
  <si>
    <t xml:space="preserve">AN 2022 REALIZAT final </t>
  </si>
  <si>
    <t>IAN2023</t>
  </si>
  <si>
    <t>Suma nerealizata IAN2023 (cu - in SIUI)</t>
  </si>
  <si>
    <t>FEB reg dupa IAN2023</t>
  </si>
  <si>
    <t>REG dupa IAN2023</t>
  </si>
  <si>
    <t>MAR2023</t>
  </si>
  <si>
    <t>REG dupa MARTIE2023</t>
  </si>
  <si>
    <t>AN 2023 contractat cu Monitorizari</t>
  </si>
  <si>
    <t>ANEXA 2</t>
  </si>
  <si>
    <t>TOTAL Monitorizari IAN2023   =</t>
  </si>
  <si>
    <t xml:space="preserve">CONTRACTAT pt TRIM I 2023= </t>
  </si>
  <si>
    <t>TOTAL 2023 pt Monit</t>
  </si>
  <si>
    <t xml:space="preserve">% pt REG Ian = </t>
  </si>
  <si>
    <t xml:space="preserve">Rez dupa FEB = </t>
  </si>
  <si>
    <t>VENETIA MEDICAL</t>
  </si>
  <si>
    <t>APR2023</t>
  </si>
  <si>
    <t>MAI2023</t>
  </si>
  <si>
    <t>IUN2023</t>
  </si>
  <si>
    <t xml:space="preserve">CA / SEM I 2023 = </t>
  </si>
  <si>
    <t>Suma nerealizata MAR2023(cu - in SIUI)</t>
  </si>
  <si>
    <t>TRIM I 2023 realizat</t>
  </si>
  <si>
    <t>REG dupa MARTIE 2023</t>
  </si>
  <si>
    <t xml:space="preserve">REZERVA = </t>
  </si>
  <si>
    <t xml:space="preserve">TRIM I 2023 realizat </t>
  </si>
  <si>
    <t xml:space="preserve">% pt REG = </t>
  </si>
  <si>
    <t>APR reg dupa MAR2023</t>
  </si>
  <si>
    <t>Suma nerealizata FEB2023 (cu - in SIUI)</t>
  </si>
  <si>
    <t>rez nefolosita</t>
  </si>
  <si>
    <t>APR realizat</t>
  </si>
  <si>
    <t>Suma nerealizata APR2023(cu - in SIUI)</t>
  </si>
  <si>
    <t>Medie realizari 4 luni (pt cei ce au realizat ctr)</t>
  </si>
  <si>
    <t>REG dupa APR2023</t>
  </si>
  <si>
    <t>% pt REG=</t>
  </si>
  <si>
    <t>MAI reg dupa APR</t>
  </si>
  <si>
    <t>TOTAL Monitorizari APR2023   =</t>
  </si>
  <si>
    <t>TOTAL Monitorizari FEB2023   =</t>
  </si>
  <si>
    <t>MAI realizat</t>
  </si>
  <si>
    <t>Suma nerealizata MAI2023(cu - in SIUI)</t>
  </si>
  <si>
    <t>Suma pt AA de regul. dupa MAI</t>
  </si>
  <si>
    <t xml:space="preserve">rezerva = </t>
  </si>
  <si>
    <t>TOTAL Monitorizari MAI2023   =</t>
  </si>
  <si>
    <t>IUNIE realizat</t>
  </si>
  <si>
    <t>Suma nerealizata IUNIE2023(cu - in SIUI)</t>
  </si>
  <si>
    <t>Suma calculata SEM II 20223</t>
  </si>
  <si>
    <t>IUL</t>
  </si>
  <si>
    <t>AUG</t>
  </si>
  <si>
    <t>SEPT</t>
  </si>
  <si>
    <t>OCT</t>
  </si>
  <si>
    <t>NOV</t>
  </si>
  <si>
    <t>DEC</t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</si>
  <si>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radiologie -imagistica</t>
    </r>
    <r>
      <rPr>
        <b/>
        <sz val="12"/>
        <rFont val="TimesRomanR"/>
        <family val="0"/>
      </rPr>
      <t xml:space="preserve"> - AN 2023</t>
    </r>
  </si>
  <si>
    <t>De regularizat =</t>
  </si>
  <si>
    <t>TRIM II 2023 realizat</t>
  </si>
  <si>
    <t>Medie realizari 6 luni (pt cei ce au realizat ctr)</t>
  </si>
  <si>
    <t xml:space="preserve">% pt  REG = </t>
  </si>
  <si>
    <t>REG dupa IUN</t>
  </si>
  <si>
    <t>IUL regularizat</t>
  </si>
  <si>
    <t>% pt REG =</t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</si>
  <si>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analize de laborator</t>
    </r>
    <r>
      <rPr>
        <b/>
        <sz val="12"/>
        <rFont val="TimesRomanR"/>
        <family val="0"/>
      </rPr>
      <t xml:space="preserve"> - AN 2023</t>
    </r>
  </si>
  <si>
    <t>TRIM IV</t>
  </si>
  <si>
    <t>Suma nerealizata IULIE2023(cu - in SIUI)</t>
  </si>
  <si>
    <t>IULIE realizat</t>
  </si>
  <si>
    <t>Medie realizari 7 luni (pt cei ce au realizat ctr)</t>
  </si>
  <si>
    <t>REG dupa iulie</t>
  </si>
  <si>
    <t>AUG regularizat</t>
  </si>
  <si>
    <t>REZERVA iulie</t>
  </si>
  <si>
    <t>TRIM III 2023 realizat</t>
  </si>
  <si>
    <t>TRIM IV 2023</t>
  </si>
  <si>
    <t xml:space="preserve">CA / AN 2023 = </t>
  </si>
  <si>
    <t>Diferenta CONTRACTAT-CA</t>
  </si>
  <si>
    <t xml:space="preserve">Monitorizari IULIE 2023= </t>
  </si>
  <si>
    <t>AUGUST realizat</t>
  </si>
  <si>
    <t xml:space="preserve"> </t>
  </si>
  <si>
    <t>Suma nerealizata AUGUST2023(cu - in SIUI)</t>
  </si>
  <si>
    <t>Suma pt AA de regul. dupa august</t>
  </si>
  <si>
    <t>Medie realizari 8luni (pt cei ce au realizat ctr)</t>
  </si>
  <si>
    <t>REZERVA august</t>
  </si>
  <si>
    <t>REG dupa august</t>
  </si>
  <si>
    <t>SEPT regularizat</t>
  </si>
  <si>
    <t>Medie realizari 8 luni (pt cei ce au realizat ctr)</t>
  </si>
  <si>
    <t>%pt REG=</t>
  </si>
  <si>
    <t xml:space="preserve">MonitorizariAUGUST 2023= </t>
  </si>
  <si>
    <t>SEPTEMBRIE realizat</t>
  </si>
  <si>
    <t>Suma nerealizata SEPT2023(cu - in SIUI)</t>
  </si>
  <si>
    <t>Medie realizari 9 luni (pt cei ce au realizat ctr)</t>
  </si>
  <si>
    <t>REG dupa SEPT</t>
  </si>
  <si>
    <t>OCT regularizat</t>
  </si>
  <si>
    <t>SEPT realizat</t>
  </si>
  <si>
    <t xml:space="preserve">MonitorizariSEPT 2023= </t>
  </si>
  <si>
    <t>AN 2023 REALIZAT 9 luni</t>
  </si>
  <si>
    <t>AN 2023 REALIZAT 9 LUNI</t>
  </si>
  <si>
    <t>Suma pt AA de regul. dupa septembrie</t>
  </si>
  <si>
    <t xml:space="preserve">MEDIMA HEALTH SA </t>
  </si>
  <si>
    <t xml:space="preserve">CENTRUL MEDICAL MATEUS </t>
  </si>
  <si>
    <r>
      <t>KALIOPHION SRL</t>
    </r>
    <r>
      <rPr>
        <b/>
        <i/>
        <sz val="10"/>
        <rFont val="TimesRomanR"/>
        <family val="0"/>
      </rPr>
      <t xml:space="preserve"> (in contract din IUL2023)</t>
    </r>
  </si>
  <si>
    <r>
      <t xml:space="preserve">MNT HEALTCARE EUROPE SRL </t>
    </r>
    <r>
      <rPr>
        <b/>
        <i/>
        <sz val="10"/>
        <rFont val="TimesRomanR"/>
        <family val="0"/>
      </rPr>
      <t xml:space="preserve"> (in contract din IUL2023)</t>
    </r>
  </si>
  <si>
    <t>(monitorizari din Sept)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</si>
</sst>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"/>
    <numFmt numFmtId="175" formatCode="#,##0.000"/>
    <numFmt numFmtId="176" formatCode="#,##0.000000"/>
    <numFmt numFmtId="177" formatCode="#,##0.00000"/>
    <numFmt numFmtId="178" formatCode="#,##0.0000000"/>
    <numFmt numFmtId="179" formatCode="#,##0.00000000"/>
    <numFmt numFmtId="180" formatCode="[$-418]dddd\,\ d\ mmmm\ yyyy"/>
  </numFmts>
  <fonts count="65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b/>
      <sz val="12"/>
      <name val="TimesRomanR"/>
      <family val="0"/>
    </font>
    <font>
      <i/>
      <sz val="10"/>
      <name val="TimesRomanR"/>
      <family val="0"/>
    </font>
    <font>
      <b/>
      <i/>
      <sz val="10"/>
      <name val="TimesRomanR"/>
      <family val="0"/>
    </font>
    <font>
      <b/>
      <sz val="10"/>
      <name val="TimesRomanR"/>
      <family val="0"/>
    </font>
    <font>
      <b/>
      <sz val="8"/>
      <name val="TimesRomanR"/>
      <family val="0"/>
    </font>
    <font>
      <b/>
      <sz val="9"/>
      <name val="TimesRomanR"/>
      <family val="0"/>
    </font>
    <font>
      <sz val="8"/>
      <name val="TimesRomanR"/>
      <family val="0"/>
    </font>
    <font>
      <b/>
      <i/>
      <sz val="9"/>
      <name val="TimesRomanR"/>
      <family val="0"/>
    </font>
    <font>
      <sz val="9"/>
      <name val="TimesRomanR"/>
      <family val="0"/>
    </font>
    <font>
      <i/>
      <sz val="9"/>
      <name val="TimesRomanR"/>
      <family val="0"/>
    </font>
    <font>
      <b/>
      <u val="single"/>
      <sz val="12"/>
      <name val="TimesRomanR"/>
      <family val="0"/>
    </font>
    <font>
      <b/>
      <sz val="11"/>
      <name val="TimesRomanR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color indexed="8"/>
      <name val="TimesRomanR"/>
      <family val="0"/>
    </font>
    <font>
      <b/>
      <i/>
      <sz val="8"/>
      <name val="TimesRomanR"/>
      <family val="0"/>
    </font>
    <font>
      <b/>
      <i/>
      <sz val="11"/>
      <name val="TimesRomanR"/>
      <family val="0"/>
    </font>
    <font>
      <b/>
      <sz val="10"/>
      <color indexed="9"/>
      <name val="TimesRomanR"/>
      <family val="0"/>
    </font>
    <font>
      <sz val="10"/>
      <color indexed="9"/>
      <name val="TimesRomanR"/>
      <family val="0"/>
    </font>
    <font>
      <b/>
      <sz val="9"/>
      <color indexed="9"/>
      <name val="TimesRomanR"/>
      <family val="0"/>
    </font>
    <font>
      <sz val="11"/>
      <name val="TimesRomanR"/>
      <family val="0"/>
    </font>
    <font>
      <i/>
      <sz val="11"/>
      <name val="TimesRomanR"/>
      <family val="0"/>
    </font>
    <font>
      <b/>
      <sz val="14"/>
      <name val="TimesRomanR"/>
      <family val="0"/>
    </font>
    <font>
      <b/>
      <i/>
      <sz val="10"/>
      <color indexed="9"/>
      <name val="TimesRomanR"/>
      <family val="0"/>
    </font>
    <font>
      <b/>
      <sz val="8"/>
      <color indexed="9"/>
      <name val="TimesRomanR"/>
      <family val="0"/>
    </font>
    <font>
      <b/>
      <sz val="18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color indexed="10"/>
      <name val="TimesRoman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8"/>
      <color rgb="FFFF0000"/>
      <name val="TimesRomanR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C0DA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1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4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10" fillId="32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8" fillId="0" borderId="13" xfId="0" applyNumberFormat="1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/>
    </xf>
    <xf numFmtId="4" fontId="8" fillId="32" borderId="13" xfId="0" applyNumberFormat="1" applyFont="1" applyFill="1" applyBorder="1" applyAlignment="1">
      <alignment horizontal="center" vertical="center" wrapText="1"/>
    </xf>
    <xf numFmtId="4" fontId="1" fillId="32" borderId="14" xfId="0" applyNumberFormat="1" applyFont="1" applyFill="1" applyBorder="1" applyAlignment="1">
      <alignment wrapText="1"/>
    </xf>
    <xf numFmtId="4" fontId="1" fillId="32" borderId="15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13" xfId="0" applyNumberFormat="1" applyFont="1" applyFill="1" applyBorder="1" applyAlignment="1">
      <alignment horizontal="center" wrapText="1"/>
    </xf>
    <xf numFmtId="4" fontId="1" fillId="32" borderId="14" xfId="0" applyNumberFormat="1" applyFont="1" applyFill="1" applyBorder="1" applyAlignment="1">
      <alignment horizontal="right" wrapText="1"/>
    </xf>
    <xf numFmtId="4" fontId="1" fillId="32" borderId="17" xfId="0" applyNumberFormat="1" applyFont="1" applyFill="1" applyBorder="1" applyAlignment="1">
      <alignment horizontal="right" wrapText="1"/>
    </xf>
    <xf numFmtId="4" fontId="6" fillId="3" borderId="18" xfId="0" applyNumberFormat="1" applyFont="1" applyFill="1" applyBorder="1" applyAlignment="1">
      <alignment horizontal="right" wrapText="1"/>
    </xf>
    <xf numFmtId="4" fontId="6" fillId="3" borderId="19" xfId="0" applyNumberFormat="1" applyFont="1" applyFill="1" applyBorder="1" applyAlignment="1">
      <alignment horizontal="right" wrapText="1"/>
    </xf>
    <xf numFmtId="4" fontId="6" fillId="3" borderId="20" xfId="0" applyNumberFormat="1" applyFont="1" applyFill="1" applyBorder="1" applyAlignment="1">
      <alignment horizontal="right" wrapText="1"/>
    </xf>
    <xf numFmtId="4" fontId="5" fillId="3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wrapText="1"/>
    </xf>
    <xf numFmtId="4" fontId="1" fillId="32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5" fillId="32" borderId="2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/>
    </xf>
    <xf numFmtId="4" fontId="6" fillId="32" borderId="23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33" borderId="23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1" fillId="32" borderId="18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wrapText="1"/>
    </xf>
    <xf numFmtId="4" fontId="6" fillId="34" borderId="18" xfId="0" applyNumberFormat="1" applyFont="1" applyFill="1" applyBorder="1" applyAlignment="1">
      <alignment wrapText="1"/>
    </xf>
    <xf numFmtId="4" fontId="1" fillId="32" borderId="18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wrapText="1"/>
    </xf>
    <xf numFmtId="4" fontId="6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35" borderId="28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/>
    </xf>
    <xf numFmtId="1" fontId="9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" fontId="6" fillId="32" borderId="15" xfId="0" applyNumberFormat="1" applyFont="1" applyFill="1" applyBorder="1" applyAlignment="1">
      <alignment wrapText="1"/>
    </xf>
    <xf numFmtId="4" fontId="6" fillId="32" borderId="16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>
      <alignment horizontal="right" wrapText="1"/>
    </xf>
    <xf numFmtId="4" fontId="20" fillId="0" borderId="0" xfId="0" applyNumberFormat="1" applyFont="1" applyFill="1" applyBorder="1" applyAlignment="1">
      <alignment horizontal="left" wrapText="1"/>
    </xf>
    <xf numFmtId="1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74" fontId="8" fillId="33" borderId="13" xfId="0" applyNumberFormat="1" applyFont="1" applyFill="1" applyBorder="1" applyAlignment="1">
      <alignment/>
    </xf>
    <xf numFmtId="1" fontId="6" fillId="5" borderId="13" xfId="0" applyNumberFormat="1" applyFont="1" applyFill="1" applyBorder="1" applyAlignment="1">
      <alignment horizontal="center" vertical="center" wrapText="1"/>
    </xf>
    <xf numFmtId="4" fontId="14" fillId="36" borderId="28" xfId="0" applyNumberFormat="1" applyFont="1" applyFill="1" applyBorder="1" applyAlignment="1">
      <alignment wrapText="1"/>
    </xf>
    <xf numFmtId="4" fontId="8" fillId="33" borderId="36" xfId="0" applyNumberFormat="1" applyFont="1" applyFill="1" applyBorder="1" applyAlignment="1">
      <alignment horizontal="center" wrapText="1"/>
    </xf>
    <xf numFmtId="176" fontId="8" fillId="33" borderId="11" xfId="0" applyNumberFormat="1" applyFont="1" applyFill="1" applyBorder="1" applyAlignment="1">
      <alignment horizontal="right" wrapText="1"/>
    </xf>
    <xf numFmtId="4" fontId="6" fillId="0" borderId="37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18" fillId="0" borderId="0" xfId="0" applyNumberFormat="1" applyFont="1" applyFill="1" applyBorder="1" applyAlignment="1">
      <alignment horizontal="center" wrapText="1"/>
    </xf>
    <xf numFmtId="4" fontId="6" fillId="35" borderId="18" xfId="0" applyNumberFormat="1" applyFont="1" applyFill="1" applyBorder="1" applyAlignment="1">
      <alignment wrapText="1"/>
    </xf>
    <xf numFmtId="4" fontId="6" fillId="5" borderId="14" xfId="0" applyNumberFormat="1" applyFont="1" applyFill="1" applyBorder="1" applyAlignment="1">
      <alignment wrapText="1"/>
    </xf>
    <xf numFmtId="3" fontId="6" fillId="0" borderId="0" xfId="0" applyNumberFormat="1" applyFont="1" applyAlignment="1">
      <alignment/>
    </xf>
    <xf numFmtId="0" fontId="22" fillId="0" borderId="0" xfId="0" applyFont="1" applyFill="1" applyBorder="1" applyAlignment="1">
      <alignment wrapText="1"/>
    </xf>
    <xf numFmtId="0" fontId="6" fillId="37" borderId="38" xfId="0" applyFont="1" applyFill="1" applyBorder="1" applyAlignment="1">
      <alignment horizontal="right"/>
    </xf>
    <xf numFmtId="4" fontId="6" fillId="37" borderId="39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6" fillId="38" borderId="11" xfId="0" applyNumberFormat="1" applyFont="1" applyFill="1" applyBorder="1" applyAlignment="1">
      <alignment horizontal="center" vertical="center" wrapText="1"/>
    </xf>
    <xf numFmtId="4" fontId="6" fillId="38" borderId="40" xfId="0" applyNumberFormat="1" applyFont="1" applyFill="1" applyBorder="1" applyAlignment="1">
      <alignment/>
    </xf>
    <xf numFmtId="4" fontId="1" fillId="37" borderId="41" xfId="0" applyNumberFormat="1" applyFont="1" applyFill="1" applyBorder="1" applyAlignment="1">
      <alignment/>
    </xf>
    <xf numFmtId="4" fontId="6" fillId="38" borderId="36" xfId="0" applyNumberFormat="1" applyFont="1" applyFill="1" applyBorder="1" applyAlignment="1">
      <alignment/>
    </xf>
    <xf numFmtId="4" fontId="6" fillId="34" borderId="40" xfId="0" applyNumberFormat="1" applyFont="1" applyFill="1" applyBorder="1" applyAlignment="1">
      <alignment/>
    </xf>
    <xf numFmtId="4" fontId="1" fillId="37" borderId="42" xfId="0" applyNumberFormat="1" applyFont="1" applyFill="1" applyBorder="1" applyAlignment="1">
      <alignment/>
    </xf>
    <xf numFmtId="4" fontId="1" fillId="37" borderId="43" xfId="0" applyNumberFormat="1" applyFont="1" applyFill="1" applyBorder="1" applyAlignment="1">
      <alignment/>
    </xf>
    <xf numFmtId="4" fontId="14" fillId="34" borderId="36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4" fontId="6" fillId="35" borderId="40" xfId="0" applyNumberFormat="1" applyFont="1" applyFill="1" applyBorder="1" applyAlignment="1">
      <alignment horizontal="center" vertical="center" wrapText="1"/>
    </xf>
    <xf numFmtId="4" fontId="17" fillId="35" borderId="15" xfId="0" applyNumberFormat="1" applyFont="1" applyFill="1" applyBorder="1" applyAlignment="1">
      <alignment horizontal="right" vertical="center" wrapText="1"/>
    </xf>
    <xf numFmtId="4" fontId="17" fillId="35" borderId="18" xfId="0" applyNumberFormat="1" applyFont="1" applyFill="1" applyBorder="1" applyAlignment="1">
      <alignment horizontal="right" vertical="center" wrapText="1"/>
    </xf>
    <xf numFmtId="4" fontId="17" fillId="35" borderId="17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4" fontId="6" fillId="35" borderId="25" xfId="0" applyNumberFormat="1" applyFont="1" applyFill="1" applyBorder="1" applyAlignment="1">
      <alignment horizontal="center" wrapText="1"/>
    </xf>
    <xf numFmtId="4" fontId="5" fillId="10" borderId="36" xfId="0" applyNumberFormat="1" applyFont="1" applyFill="1" applyBorder="1" applyAlignment="1">
      <alignment horizontal="center" wrapText="1"/>
    </xf>
    <xf numFmtId="4" fontId="5" fillId="10" borderId="13" xfId="0" applyNumberFormat="1" applyFont="1" applyFill="1" applyBorder="1" applyAlignment="1">
      <alignment horizontal="right" vertical="center" wrapText="1"/>
    </xf>
    <xf numFmtId="4" fontId="6" fillId="5" borderId="28" xfId="0" applyNumberFormat="1" applyFont="1" applyFill="1" applyBorder="1" applyAlignment="1">
      <alignment horizontal="right" wrapText="1"/>
    </xf>
    <xf numFmtId="4" fontId="6" fillId="10" borderId="40" xfId="0" applyNumberFormat="1" applyFont="1" applyFill="1" applyBorder="1" applyAlignment="1">
      <alignment/>
    </xf>
    <xf numFmtId="4" fontId="6" fillId="10" borderId="36" xfId="0" applyNumberFormat="1" applyFont="1" applyFill="1" applyBorder="1" applyAlignment="1">
      <alignment/>
    </xf>
    <xf numFmtId="1" fontId="14" fillId="34" borderId="11" xfId="0" applyNumberFormat="1" applyFont="1" applyFill="1" applyBorder="1" applyAlignment="1">
      <alignment horizontal="center" vertical="center" wrapText="1"/>
    </xf>
    <xf numFmtId="4" fontId="14" fillId="34" borderId="28" xfId="0" applyNumberFormat="1" applyFont="1" applyFill="1" applyBorder="1" applyAlignment="1">
      <alignment wrapText="1"/>
    </xf>
    <xf numFmtId="0" fontId="14" fillId="34" borderId="35" xfId="0" applyFont="1" applyFill="1" applyBorder="1" applyAlignment="1">
      <alignment horizontal="right"/>
    </xf>
    <xf numFmtId="174" fontId="8" fillId="33" borderId="44" xfId="0" applyNumberFormat="1" applyFont="1" applyFill="1" applyBorder="1" applyAlignment="1">
      <alignment/>
    </xf>
    <xf numFmtId="4" fontId="5" fillId="10" borderId="11" xfId="0" applyNumberFormat="1" applyFont="1" applyFill="1" applyBorder="1" applyAlignment="1">
      <alignment/>
    </xf>
    <xf numFmtId="4" fontId="6" fillId="10" borderId="11" xfId="0" applyNumberFormat="1" applyFont="1" applyFill="1" applyBorder="1" applyAlignment="1">
      <alignment/>
    </xf>
    <xf numFmtId="3" fontId="3" fillId="34" borderId="45" xfId="0" applyNumberFormat="1" applyFont="1" applyFill="1" applyBorder="1" applyAlignment="1">
      <alignment horizontal="left"/>
    </xf>
    <xf numFmtId="4" fontId="6" fillId="10" borderId="14" xfId="0" applyNumberFormat="1" applyFont="1" applyFill="1" applyBorder="1" applyAlignment="1">
      <alignment wrapText="1"/>
    </xf>
    <xf numFmtId="4" fontId="6" fillId="10" borderId="14" xfId="0" applyNumberFormat="1" applyFont="1" applyFill="1" applyBorder="1" applyAlignment="1">
      <alignment horizontal="right" wrapText="1"/>
    </xf>
    <xf numFmtId="4" fontId="6" fillId="10" borderId="15" xfId="0" applyNumberFormat="1" applyFont="1" applyFill="1" applyBorder="1" applyAlignment="1">
      <alignment wrapText="1"/>
    </xf>
    <xf numFmtId="3" fontId="6" fillId="34" borderId="4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/>
    </xf>
    <xf numFmtId="4" fontId="18" fillId="0" borderId="43" xfId="0" applyNumberFormat="1" applyFont="1" applyFill="1" applyBorder="1" applyAlignment="1">
      <alignment horizontal="left" wrapText="1"/>
    </xf>
    <xf numFmtId="4" fontId="6" fillId="34" borderId="46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1" fillId="0" borderId="40" xfId="0" applyNumberFormat="1" applyFont="1" applyFill="1" applyBorder="1" applyAlignment="1">
      <alignment/>
    </xf>
    <xf numFmtId="0" fontId="6" fillId="37" borderId="47" xfId="0" applyFont="1" applyFill="1" applyBorder="1" applyAlignment="1">
      <alignment horizontal="right"/>
    </xf>
    <xf numFmtId="4" fontId="6" fillId="37" borderId="45" xfId="0" applyNumberFormat="1" applyFont="1" applyFill="1" applyBorder="1" applyAlignment="1">
      <alignment/>
    </xf>
    <xf numFmtId="1" fontId="6" fillId="35" borderId="11" xfId="0" applyNumberFormat="1" applyFont="1" applyFill="1" applyBorder="1" applyAlignment="1">
      <alignment horizontal="center" vertical="center" wrapText="1"/>
    </xf>
    <xf numFmtId="4" fontId="6" fillId="34" borderId="42" xfId="0" applyNumberFormat="1" applyFont="1" applyFill="1" applyBorder="1" applyAlignment="1">
      <alignment/>
    </xf>
    <xf numFmtId="4" fontId="1" fillId="34" borderId="42" xfId="0" applyNumberFormat="1" applyFont="1" applyFill="1" applyBorder="1" applyAlignment="1">
      <alignment/>
    </xf>
    <xf numFmtId="4" fontId="6" fillId="34" borderId="45" xfId="0" applyNumberFormat="1" applyFont="1" applyFill="1" applyBorder="1" applyAlignment="1">
      <alignment/>
    </xf>
    <xf numFmtId="0" fontId="25" fillId="5" borderId="13" xfId="0" applyFont="1" applyFill="1" applyBorder="1" applyAlignment="1">
      <alignment horizontal="right"/>
    </xf>
    <xf numFmtId="4" fontId="6" fillId="32" borderId="17" xfId="0" applyNumberFormat="1" applyFont="1" applyFill="1" applyBorder="1" applyAlignment="1">
      <alignment wrapText="1"/>
    </xf>
    <xf numFmtId="1" fontId="6" fillId="36" borderId="1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left" wrapText="1"/>
    </xf>
    <xf numFmtId="4" fontId="6" fillId="33" borderId="0" xfId="0" applyNumberFormat="1" applyFont="1" applyFill="1" applyBorder="1" applyAlignment="1">
      <alignment/>
    </xf>
    <xf numFmtId="4" fontId="7" fillId="0" borderId="36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4" fontId="6" fillId="3" borderId="48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4" fontId="6" fillId="5" borderId="36" xfId="0" applyNumberFormat="1" applyFont="1" applyFill="1" applyBorder="1" applyAlignment="1">
      <alignment/>
    </xf>
    <xf numFmtId="4" fontId="18" fillId="10" borderId="13" xfId="0" applyNumberFormat="1" applyFont="1" applyFill="1" applyBorder="1" applyAlignment="1">
      <alignment horizontal="right" vertical="center" wrapText="1"/>
    </xf>
    <xf numFmtId="4" fontId="5" fillId="10" borderId="40" xfId="0" applyNumberFormat="1" applyFont="1" applyFill="1" applyBorder="1" applyAlignment="1">
      <alignment/>
    </xf>
    <xf numFmtId="4" fontId="3" fillId="10" borderId="36" xfId="0" applyNumberFormat="1" applyFont="1" applyFill="1" applyBorder="1" applyAlignment="1">
      <alignment/>
    </xf>
    <xf numFmtId="4" fontId="6" fillId="32" borderId="14" xfId="0" applyNumberFormat="1" applyFont="1" applyFill="1" applyBorder="1" applyAlignment="1">
      <alignment horizontal="right" wrapText="1"/>
    </xf>
    <xf numFmtId="4" fontId="6" fillId="32" borderId="15" xfId="0" applyNumberFormat="1" applyFont="1" applyFill="1" applyBorder="1" applyAlignment="1">
      <alignment horizontal="right" wrapText="1"/>
    </xf>
    <xf numFmtId="4" fontId="27" fillId="0" borderId="0" xfId="0" applyNumberFormat="1" applyFont="1" applyFill="1" applyBorder="1" applyAlignment="1">
      <alignment/>
    </xf>
    <xf numFmtId="176" fontId="7" fillId="33" borderId="41" xfId="0" applyNumberFormat="1" applyFont="1" applyFill="1" applyBorder="1" applyAlignment="1">
      <alignment horizontal="right"/>
    </xf>
    <xf numFmtId="4" fontId="6" fillId="37" borderId="43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 wrapText="1"/>
    </xf>
    <xf numFmtId="4" fontId="6" fillId="0" borderId="18" xfId="0" applyNumberFormat="1" applyFont="1" applyFill="1" applyBorder="1" applyAlignment="1">
      <alignment wrapText="1"/>
    </xf>
    <xf numFmtId="4" fontId="6" fillId="33" borderId="41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right" wrapText="1"/>
    </xf>
    <xf numFmtId="174" fontId="8" fillId="0" borderId="0" xfId="0" applyNumberFormat="1" applyFont="1" applyFill="1" applyBorder="1" applyAlignment="1">
      <alignment/>
    </xf>
    <xf numFmtId="174" fontId="10" fillId="10" borderId="13" xfId="0" applyNumberFormat="1" applyFont="1" applyFill="1" applyBorder="1" applyAlignment="1">
      <alignment horizontal="center"/>
    </xf>
    <xf numFmtId="174" fontId="10" fillId="10" borderId="4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left" vertical="center" wrapText="1"/>
    </xf>
    <xf numFmtId="4" fontId="6" fillId="33" borderId="44" xfId="0" applyNumberFormat="1" applyFont="1" applyFill="1" applyBorder="1" applyAlignment="1">
      <alignment/>
    </xf>
    <xf numFmtId="4" fontId="6" fillId="33" borderId="4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 wrapText="1"/>
    </xf>
    <xf numFmtId="4" fontId="6" fillId="5" borderId="12" xfId="0" applyNumberFormat="1" applyFont="1" applyFill="1" applyBorder="1" applyAlignment="1">
      <alignment/>
    </xf>
    <xf numFmtId="4" fontId="6" fillId="32" borderId="49" xfId="0" applyNumberFormat="1" applyFont="1" applyFill="1" applyBorder="1" applyAlignment="1">
      <alignment/>
    </xf>
    <xf numFmtId="4" fontId="6" fillId="33" borderId="30" xfId="0" applyNumberFormat="1" applyFont="1" applyFill="1" applyBorder="1" applyAlignment="1">
      <alignment/>
    </xf>
    <xf numFmtId="4" fontId="6" fillId="0" borderId="50" xfId="0" applyNumberFormat="1" applyFont="1" applyFill="1" applyBorder="1" applyAlignment="1">
      <alignment/>
    </xf>
    <xf numFmtId="4" fontId="6" fillId="32" borderId="4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14" fillId="36" borderId="11" xfId="0" applyNumberFormat="1" applyFont="1" applyFill="1" applyBorder="1" applyAlignment="1">
      <alignment/>
    </xf>
    <xf numFmtId="4" fontId="5" fillId="10" borderId="11" xfId="0" applyNumberFormat="1" applyFont="1" applyFill="1" applyBorder="1" applyAlignment="1">
      <alignment horizontal="center" wrapText="1"/>
    </xf>
    <xf numFmtId="4" fontId="1" fillId="10" borderId="40" xfId="0" applyNumberFormat="1" applyFont="1" applyFill="1" applyBorder="1" applyAlignment="1">
      <alignment/>
    </xf>
    <xf numFmtId="4" fontId="8" fillId="10" borderId="36" xfId="0" applyNumberFormat="1" applyFont="1" applyFill="1" applyBorder="1" applyAlignment="1">
      <alignment wrapText="1"/>
    </xf>
    <xf numFmtId="0" fontId="19" fillId="0" borderId="18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wrapText="1"/>
    </xf>
    <xf numFmtId="4" fontId="6" fillId="40" borderId="14" xfId="0" applyNumberFormat="1" applyFont="1" applyFill="1" applyBorder="1" applyAlignment="1">
      <alignment wrapText="1"/>
    </xf>
    <xf numFmtId="4" fontId="6" fillId="41" borderId="20" xfId="0" applyNumberFormat="1" applyFont="1" applyFill="1" applyBorder="1" applyAlignment="1">
      <alignment horizontal="right" wrapText="1"/>
    </xf>
    <xf numFmtId="4" fontId="5" fillId="41" borderId="11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 wrapText="1"/>
    </xf>
    <xf numFmtId="4" fontId="64" fillId="0" borderId="0" xfId="0" applyNumberFormat="1" applyFont="1" applyFill="1" applyBorder="1" applyAlignment="1">
      <alignment horizontal="center" wrapText="1"/>
    </xf>
    <xf numFmtId="4" fontId="6" fillId="42" borderId="20" xfId="0" applyNumberFormat="1" applyFont="1" applyFill="1" applyBorder="1" applyAlignment="1">
      <alignment horizontal="right" wrapText="1"/>
    </xf>
    <xf numFmtId="4" fontId="5" fillId="42" borderId="13" xfId="0" applyNumberFormat="1" applyFont="1" applyFill="1" applyBorder="1" applyAlignment="1">
      <alignment horizontal="center" wrapText="1"/>
    </xf>
    <xf numFmtId="4" fontId="3" fillId="42" borderId="36" xfId="0" applyNumberFormat="1" applyFont="1" applyFill="1" applyBorder="1" applyAlignment="1">
      <alignment/>
    </xf>
    <xf numFmtId="4" fontId="3" fillId="43" borderId="0" xfId="0" applyNumberFormat="1" applyFont="1" applyFill="1" applyBorder="1" applyAlignment="1">
      <alignment horizontal="left" wrapText="1"/>
    </xf>
    <xf numFmtId="4" fontId="14" fillId="6" borderId="0" xfId="0" applyNumberFormat="1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" fontId="14" fillId="0" borderId="11" xfId="0" applyNumberFormat="1" applyFont="1" applyFill="1" applyBorder="1" applyAlignment="1" quotePrefix="1">
      <alignment horizontal="center" vertical="center" wrapText="1"/>
    </xf>
    <xf numFmtId="4" fontId="23" fillId="0" borderId="28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44" borderId="14" xfId="0" applyNumberFormat="1" applyFont="1" applyFill="1" applyBorder="1" applyAlignment="1">
      <alignment wrapText="1"/>
    </xf>
    <xf numFmtId="4" fontId="5" fillId="24" borderId="13" xfId="0" applyNumberFormat="1" applyFont="1" applyFill="1" applyBorder="1" applyAlignment="1">
      <alignment horizontal="center" wrapText="1"/>
    </xf>
    <xf numFmtId="4" fontId="6" fillId="24" borderId="36" xfId="0" applyNumberFormat="1" applyFont="1" applyFill="1" applyBorder="1" applyAlignment="1">
      <alignment/>
    </xf>
    <xf numFmtId="4" fontId="6" fillId="10" borderId="36" xfId="0" applyNumberFormat="1" applyFont="1" applyFill="1" applyBorder="1" applyAlignment="1">
      <alignment horizontal="right" wrapText="1"/>
    </xf>
    <xf numFmtId="4" fontId="6" fillId="24" borderId="20" xfId="0" applyNumberFormat="1" applyFont="1" applyFill="1" applyBorder="1" applyAlignment="1">
      <alignment horizontal="right" wrapText="1"/>
    </xf>
    <xf numFmtId="174" fontId="10" fillId="24" borderId="13" xfId="0" applyNumberFormat="1" applyFont="1" applyFill="1" applyBorder="1" applyAlignment="1">
      <alignment horizontal="center"/>
    </xf>
    <xf numFmtId="4" fontId="6" fillId="24" borderId="36" xfId="0" applyNumberFormat="1" applyFont="1" applyFill="1" applyBorder="1" applyAlignment="1">
      <alignment horizontal="right"/>
    </xf>
    <xf numFmtId="4" fontId="8" fillId="45" borderId="13" xfId="0" applyNumberFormat="1" applyFont="1" applyFill="1" applyBorder="1" applyAlignment="1">
      <alignment horizontal="center" vertical="center" wrapText="1"/>
    </xf>
    <xf numFmtId="4" fontId="1" fillId="45" borderId="14" xfId="0" applyNumberFormat="1" applyFont="1" applyFill="1" applyBorder="1" applyAlignment="1">
      <alignment horizontal="right" wrapText="1"/>
    </xf>
    <xf numFmtId="4" fontId="6" fillId="45" borderId="14" xfId="0" applyNumberFormat="1" applyFont="1" applyFill="1" applyBorder="1" applyAlignment="1">
      <alignment horizontal="right" wrapText="1"/>
    </xf>
    <xf numFmtId="4" fontId="1" fillId="45" borderId="17" xfId="0" applyNumberFormat="1" applyFont="1" applyFill="1" applyBorder="1" applyAlignment="1">
      <alignment horizontal="right" wrapText="1"/>
    </xf>
    <xf numFmtId="4" fontId="6" fillId="45" borderId="13" xfId="0" applyNumberFormat="1" applyFont="1" applyFill="1" applyBorder="1" applyAlignment="1">
      <alignment horizontal="right"/>
    </xf>
    <xf numFmtId="176" fontId="6" fillId="45" borderId="36" xfId="0" applyNumberFormat="1" applyFont="1" applyFill="1" applyBorder="1" applyAlignment="1">
      <alignment horizontal="right"/>
    </xf>
    <xf numFmtId="4" fontId="6" fillId="0" borderId="32" xfId="0" applyNumberFormat="1" applyFont="1" applyFill="1" applyBorder="1" applyAlignment="1">
      <alignment wrapText="1"/>
    </xf>
    <xf numFmtId="4" fontId="6" fillId="3" borderId="51" xfId="0" applyNumberFormat="1" applyFont="1" applyFill="1" applyBorder="1" applyAlignment="1">
      <alignment horizontal="right" wrapText="1"/>
    </xf>
    <xf numFmtId="4" fontId="6" fillId="3" borderId="52" xfId="0" applyNumberFormat="1" applyFont="1" applyFill="1" applyBorder="1" applyAlignment="1">
      <alignment horizontal="right" wrapText="1"/>
    </xf>
    <xf numFmtId="4" fontId="6" fillId="0" borderId="53" xfId="0" applyNumberFormat="1" applyFont="1" applyFill="1" applyBorder="1" applyAlignment="1">
      <alignment wrapText="1"/>
    </xf>
    <xf numFmtId="4" fontId="6" fillId="3" borderId="27" xfId="0" applyNumberFormat="1" applyFont="1" applyFill="1" applyBorder="1" applyAlignment="1">
      <alignment horizontal="right" wrapText="1"/>
    </xf>
    <xf numFmtId="4" fontId="6" fillId="3" borderId="26" xfId="0" applyNumberFormat="1" applyFont="1" applyFill="1" applyBorder="1" applyAlignment="1">
      <alignment horizontal="right" wrapText="1"/>
    </xf>
    <xf numFmtId="4" fontId="6" fillId="3" borderId="54" xfId="0" applyNumberFormat="1" applyFont="1" applyFill="1" applyBorder="1" applyAlignment="1">
      <alignment horizontal="right" wrapText="1"/>
    </xf>
    <xf numFmtId="1" fontId="6" fillId="5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/>
    </xf>
    <xf numFmtId="4" fontId="8" fillId="13" borderId="13" xfId="0" applyNumberFormat="1" applyFont="1" applyFill="1" applyBorder="1" applyAlignment="1">
      <alignment horizontal="center" vertical="center" wrapText="1"/>
    </xf>
    <xf numFmtId="4" fontId="23" fillId="13" borderId="28" xfId="0" applyNumberFormat="1" applyFont="1" applyFill="1" applyBorder="1" applyAlignment="1">
      <alignment wrapText="1"/>
    </xf>
    <xf numFmtId="4" fontId="14" fillId="44" borderId="28" xfId="0" applyNumberFormat="1" applyFont="1" applyFill="1" applyBorder="1" applyAlignment="1">
      <alignment wrapText="1"/>
    </xf>
    <xf numFmtId="4" fontId="14" fillId="44" borderId="0" xfId="0" applyNumberFormat="1" applyFont="1" applyFill="1" applyBorder="1" applyAlignment="1">
      <alignment horizontal="center"/>
    </xf>
    <xf numFmtId="4" fontId="6" fillId="41" borderId="11" xfId="0" applyNumberFormat="1" applyFont="1" applyFill="1" applyBorder="1" applyAlignment="1">
      <alignment horizontal="center" wrapText="1"/>
    </xf>
    <xf numFmtId="1" fontId="14" fillId="11" borderId="11" xfId="0" applyNumberFormat="1" applyFont="1" applyFill="1" applyBorder="1" applyAlignment="1" quotePrefix="1">
      <alignment horizontal="center" vertical="center" wrapText="1"/>
    </xf>
    <xf numFmtId="4" fontId="23" fillId="11" borderId="28" xfId="0" applyNumberFormat="1" applyFont="1" applyFill="1" applyBorder="1" applyAlignment="1">
      <alignment wrapText="1"/>
    </xf>
    <xf numFmtId="4" fontId="6" fillId="0" borderId="15" xfId="0" applyNumberFormat="1" applyFont="1" applyFill="1" applyBorder="1" applyAlignment="1">
      <alignment wrapText="1"/>
    </xf>
    <xf numFmtId="4" fontId="6" fillId="46" borderId="15" xfId="0" applyNumberFormat="1" applyFont="1" applyFill="1" applyBorder="1" applyAlignment="1">
      <alignment wrapText="1"/>
    </xf>
    <xf numFmtId="4" fontId="6" fillId="0" borderId="55" xfId="0" applyNumberFormat="1" applyFont="1" applyFill="1" applyBorder="1" applyAlignment="1">
      <alignment wrapText="1"/>
    </xf>
    <xf numFmtId="4" fontId="6" fillId="0" borderId="39" xfId="0" applyNumberFormat="1" applyFont="1" applyFill="1" applyBorder="1" applyAlignment="1">
      <alignment wrapText="1"/>
    </xf>
    <xf numFmtId="4" fontId="6" fillId="13" borderId="56" xfId="0" applyNumberFormat="1" applyFont="1" applyFill="1" applyBorder="1" applyAlignment="1">
      <alignment wrapText="1"/>
    </xf>
    <xf numFmtId="4" fontId="6" fillId="13" borderId="38" xfId="0" applyNumberFormat="1" applyFont="1" applyFill="1" applyBorder="1" applyAlignment="1">
      <alignment wrapText="1"/>
    </xf>
    <xf numFmtId="4" fontId="6" fillId="0" borderId="5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 wrapText="1"/>
    </xf>
    <xf numFmtId="4" fontId="1" fillId="0" borderId="48" xfId="0" applyNumberFormat="1" applyFont="1" applyFill="1" applyBorder="1" applyAlignment="1">
      <alignment wrapText="1"/>
    </xf>
    <xf numFmtId="4" fontId="6" fillId="47" borderId="48" xfId="0" applyNumberFormat="1" applyFont="1" applyFill="1" applyBorder="1" applyAlignment="1">
      <alignment wrapText="1"/>
    </xf>
    <xf numFmtId="4" fontId="8" fillId="47" borderId="0" xfId="0" applyNumberFormat="1" applyFont="1" applyFill="1" applyBorder="1" applyAlignment="1">
      <alignment horizontal="center" wrapText="1"/>
    </xf>
    <xf numFmtId="4" fontId="6" fillId="45" borderId="48" xfId="0" applyNumberFormat="1" applyFont="1" applyFill="1" applyBorder="1" applyAlignment="1">
      <alignment horizontal="right"/>
    </xf>
    <xf numFmtId="0" fontId="6" fillId="45" borderId="48" xfId="0" applyFont="1" applyFill="1" applyBorder="1" applyAlignment="1">
      <alignment/>
    </xf>
    <xf numFmtId="4" fontId="6" fillId="13" borderId="2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wrapText="1"/>
    </xf>
    <xf numFmtId="4" fontId="6" fillId="47" borderId="48" xfId="0" applyNumberFormat="1" applyFont="1" applyFill="1" applyBorder="1" applyAlignment="1">
      <alignment horizontal="left" wrapText="1"/>
    </xf>
    <xf numFmtId="4" fontId="14" fillId="13" borderId="0" xfId="0" applyNumberFormat="1" applyFont="1" applyFill="1" applyBorder="1" applyAlignment="1">
      <alignment horizontal="center"/>
    </xf>
    <xf numFmtId="4" fontId="14" fillId="40" borderId="28" xfId="0" applyNumberFormat="1" applyFont="1" applyFill="1" applyBorder="1" applyAlignment="1">
      <alignment wrapText="1"/>
    </xf>
    <xf numFmtId="4" fontId="10" fillId="47" borderId="0" xfId="0" applyNumberFormat="1" applyFont="1" applyFill="1" applyBorder="1" applyAlignment="1">
      <alignment horizontal="center" wrapText="1"/>
    </xf>
    <xf numFmtId="4" fontId="6" fillId="42" borderId="11" xfId="0" applyNumberFormat="1" applyFont="1" applyFill="1" applyBorder="1" applyAlignment="1">
      <alignment horizontal="center" wrapText="1"/>
    </xf>
    <xf numFmtId="4" fontId="6" fillId="3" borderId="58" xfId="0" applyNumberFormat="1" applyFont="1" applyFill="1" applyBorder="1" applyAlignment="1">
      <alignment horizontal="right" wrapText="1"/>
    </xf>
    <xf numFmtId="4" fontId="6" fillId="3" borderId="46" xfId="0" applyNumberFormat="1" applyFont="1" applyFill="1" applyBorder="1" applyAlignment="1">
      <alignment horizontal="right" wrapText="1"/>
    </xf>
    <xf numFmtId="1" fontId="6" fillId="0" borderId="36" xfId="0" applyNumberFormat="1" applyFont="1" applyBorder="1" applyAlignment="1">
      <alignment horizontal="center" vertical="center" wrapText="1"/>
    </xf>
    <xf numFmtId="4" fontId="6" fillId="34" borderId="28" xfId="0" applyNumberFormat="1" applyFont="1" applyFill="1" applyBorder="1" applyAlignment="1">
      <alignment wrapText="1"/>
    </xf>
    <xf numFmtId="4" fontId="6" fillId="34" borderId="14" xfId="0" applyNumberFormat="1" applyFont="1" applyFill="1" applyBorder="1" applyAlignment="1">
      <alignment wrapText="1"/>
    </xf>
    <xf numFmtId="4" fontId="6" fillId="0" borderId="31" xfId="0" applyNumberFormat="1" applyFont="1" applyFill="1" applyBorder="1" applyAlignment="1">
      <alignment wrapText="1"/>
    </xf>
    <xf numFmtId="4" fontId="6" fillId="13" borderId="10" xfId="0" applyNumberFormat="1" applyFont="1" applyFill="1" applyBorder="1" applyAlignment="1">
      <alignment wrapText="1"/>
    </xf>
    <xf numFmtId="4" fontId="1" fillId="0" borderId="59" xfId="0" applyNumberFormat="1" applyFont="1" applyFill="1" applyBorder="1" applyAlignment="1">
      <alignment wrapText="1"/>
    </xf>
    <xf numFmtId="4" fontId="6" fillId="0" borderId="60" xfId="0" applyNumberFormat="1" applyFont="1" applyFill="1" applyBorder="1" applyAlignment="1">
      <alignment wrapText="1"/>
    </xf>
    <xf numFmtId="4" fontId="6" fillId="0" borderId="61" xfId="0" applyNumberFormat="1" applyFont="1" applyFill="1" applyBorder="1" applyAlignment="1">
      <alignment wrapText="1"/>
    </xf>
    <xf numFmtId="4" fontId="6" fillId="36" borderId="28" xfId="0" applyNumberFormat="1" applyFont="1" applyFill="1" applyBorder="1" applyAlignment="1">
      <alignment wrapText="1"/>
    </xf>
    <xf numFmtId="1" fontId="14" fillId="0" borderId="40" xfId="0" applyNumberFormat="1" applyFont="1" applyFill="1" applyBorder="1" applyAlignment="1" quotePrefix="1">
      <alignment horizontal="center" vertical="center" wrapText="1"/>
    </xf>
    <xf numFmtId="1" fontId="14" fillId="0" borderId="36" xfId="0" applyNumberFormat="1" applyFont="1" applyFill="1" applyBorder="1" applyAlignment="1" quotePrefix="1">
      <alignment horizontal="center" vertical="center" wrapText="1"/>
    </xf>
    <xf numFmtId="4" fontId="6" fillId="0" borderId="62" xfId="0" applyNumberFormat="1" applyFont="1" applyFill="1" applyBorder="1" applyAlignment="1">
      <alignment wrapText="1"/>
    </xf>
    <xf numFmtId="4" fontId="6" fillId="0" borderId="63" xfId="0" applyNumberFormat="1" applyFont="1" applyFill="1" applyBorder="1" applyAlignment="1">
      <alignment wrapText="1"/>
    </xf>
    <xf numFmtId="4" fontId="6" fillId="47" borderId="63" xfId="0" applyNumberFormat="1" applyFont="1" applyFill="1" applyBorder="1" applyAlignment="1">
      <alignment wrapText="1"/>
    </xf>
    <xf numFmtId="4" fontId="6" fillId="42" borderId="46" xfId="0" applyNumberFormat="1" applyFont="1" applyFill="1" applyBorder="1" applyAlignment="1">
      <alignment horizontal="right" wrapText="1"/>
    </xf>
    <xf numFmtId="4" fontId="6" fillId="42" borderId="48" xfId="0" applyNumberFormat="1" applyFont="1" applyFill="1" applyBorder="1" applyAlignment="1">
      <alignment horizontal="right"/>
    </xf>
    <xf numFmtId="4" fontId="6" fillId="42" borderId="48" xfId="0" applyNumberFormat="1" applyFont="1" applyFill="1" applyBorder="1" applyAlignment="1">
      <alignment/>
    </xf>
    <xf numFmtId="1" fontId="14" fillId="11" borderId="13" xfId="0" applyNumberFormat="1" applyFont="1" applyFill="1" applyBorder="1" applyAlignment="1" quotePrefix="1">
      <alignment horizontal="center" vertical="center" wrapText="1"/>
    </xf>
    <xf numFmtId="4" fontId="6" fillId="11" borderId="62" xfId="0" applyNumberFormat="1" applyFont="1" applyFill="1" applyBorder="1" applyAlignment="1">
      <alignment wrapText="1"/>
    </xf>
    <xf numFmtId="4" fontId="6" fillId="11" borderId="63" xfId="0" applyNumberFormat="1" applyFont="1" applyFill="1" applyBorder="1" applyAlignment="1">
      <alignment wrapText="1"/>
    </xf>
    <xf numFmtId="4" fontId="18" fillId="0" borderId="40" xfId="0" applyNumberFormat="1" applyFont="1" applyBorder="1" applyAlignment="1">
      <alignment horizontal="center" vertical="center" wrapText="1"/>
    </xf>
    <xf numFmtId="4" fontId="8" fillId="13" borderId="11" xfId="0" applyNumberFormat="1" applyFont="1" applyFill="1" applyBorder="1" applyAlignment="1">
      <alignment horizontal="center" vertical="center" wrapText="1"/>
    </xf>
    <xf numFmtId="4" fontId="6" fillId="13" borderId="28" xfId="0" applyNumberFormat="1" applyFont="1" applyFill="1" applyBorder="1" applyAlignment="1">
      <alignment wrapText="1"/>
    </xf>
    <xf numFmtId="4" fontId="6" fillId="13" borderId="18" xfId="0" applyNumberFormat="1" applyFont="1" applyFill="1" applyBorder="1" applyAlignment="1">
      <alignment wrapText="1"/>
    </xf>
    <xf numFmtId="4" fontId="6" fillId="0" borderId="53" xfId="0" applyNumberFormat="1" applyFont="1" applyFill="1" applyBorder="1" applyAlignment="1">
      <alignment/>
    </xf>
    <xf numFmtId="4" fontId="6" fillId="42" borderId="13" xfId="0" applyNumberFormat="1" applyFont="1" applyFill="1" applyBorder="1" applyAlignment="1">
      <alignment/>
    </xf>
    <xf numFmtId="4" fontId="6" fillId="42" borderId="36" xfId="0" applyNumberFormat="1" applyFont="1" applyFill="1" applyBorder="1" applyAlignment="1">
      <alignment/>
    </xf>
    <xf numFmtId="4" fontId="6" fillId="47" borderId="0" xfId="0" applyNumberFormat="1" applyFont="1" applyFill="1" applyBorder="1" applyAlignment="1">
      <alignment horizontal="left" wrapText="1"/>
    </xf>
    <xf numFmtId="4" fontId="6" fillId="47" borderId="28" xfId="0" applyNumberFormat="1" applyFont="1" applyFill="1" applyBorder="1" applyAlignment="1">
      <alignment wrapText="1"/>
    </xf>
    <xf numFmtId="4" fontId="23" fillId="41" borderId="28" xfId="0" applyNumberFormat="1" applyFont="1" applyFill="1" applyBorder="1" applyAlignment="1">
      <alignment wrapText="1"/>
    </xf>
    <xf numFmtId="4" fontId="23" fillId="48" borderId="28" xfId="0" applyNumberFormat="1" applyFont="1" applyFill="1" applyBorder="1" applyAlignment="1">
      <alignment wrapText="1"/>
    </xf>
    <xf numFmtId="4" fontId="14" fillId="0" borderId="28" xfId="0" applyNumberFormat="1" applyFont="1" applyFill="1" applyBorder="1" applyAlignment="1">
      <alignment wrapText="1"/>
    </xf>
    <xf numFmtId="4" fontId="7" fillId="0" borderId="11" xfId="0" applyNumberFormat="1" applyFont="1" applyBorder="1" applyAlignment="1">
      <alignment horizontal="center" vertical="center" wrapText="1"/>
    </xf>
    <xf numFmtId="4" fontId="6" fillId="48" borderId="28" xfId="0" applyNumberFormat="1" applyFont="1" applyFill="1" applyBorder="1" applyAlignment="1">
      <alignment wrapText="1"/>
    </xf>
    <xf numFmtId="4" fontId="6" fillId="13" borderId="15" xfId="0" applyNumberFormat="1" applyFont="1" applyFill="1" applyBorder="1" applyAlignment="1">
      <alignment wrapText="1"/>
    </xf>
    <xf numFmtId="4" fontId="5" fillId="49" borderId="21" xfId="0" applyNumberFormat="1" applyFont="1" applyFill="1" applyBorder="1" applyAlignment="1">
      <alignment horizontal="center" wrapText="1"/>
    </xf>
    <xf numFmtId="4" fontId="14" fillId="47" borderId="28" xfId="0" applyNumberFormat="1" applyFont="1" applyFill="1" applyBorder="1" applyAlignment="1">
      <alignment wrapText="1"/>
    </xf>
    <xf numFmtId="174" fontId="18" fillId="47" borderId="13" xfId="0" applyNumberFormat="1" applyFont="1" applyFill="1" applyBorder="1" applyAlignment="1">
      <alignment horizontal="center"/>
    </xf>
    <xf numFmtId="4" fontId="18" fillId="47" borderId="40" xfId="0" applyNumberFormat="1" applyFont="1" applyFill="1" applyBorder="1" applyAlignment="1">
      <alignment horizontal="center"/>
    </xf>
    <xf numFmtId="0" fontId="7" fillId="42" borderId="13" xfId="0" applyFont="1" applyFill="1" applyBorder="1" applyAlignment="1">
      <alignment wrapText="1"/>
    </xf>
    <xf numFmtId="4" fontId="6" fillId="0" borderId="19" xfId="0" applyNumberFormat="1" applyFont="1" applyFill="1" applyBorder="1" applyAlignment="1">
      <alignment horizontal="right" wrapText="1"/>
    </xf>
    <xf numFmtId="4" fontId="6" fillId="0" borderId="20" xfId="0" applyNumberFormat="1" applyFont="1" applyFill="1" applyBorder="1" applyAlignment="1">
      <alignment horizontal="right" wrapText="1"/>
    </xf>
    <xf numFmtId="4" fontId="18" fillId="0" borderId="13" xfId="0" applyNumberFormat="1" applyFont="1" applyFill="1" applyBorder="1" applyAlignment="1">
      <alignment horizontal="center"/>
    </xf>
    <xf numFmtId="176" fontId="18" fillId="0" borderId="36" xfId="0" applyNumberFormat="1" applyFont="1" applyFill="1" applyBorder="1" applyAlignment="1">
      <alignment horizontal="center" wrapText="1"/>
    </xf>
    <xf numFmtId="4" fontId="7" fillId="50" borderId="11" xfId="0" applyNumberFormat="1" applyFont="1" applyFill="1" applyBorder="1" applyAlignment="1">
      <alignment horizontal="center" vertical="center" wrapText="1"/>
    </xf>
    <xf numFmtId="4" fontId="6" fillId="50" borderId="28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center" wrapText="1"/>
    </xf>
    <xf numFmtId="4" fontId="7" fillId="11" borderId="11" xfId="0" applyNumberFormat="1" applyFont="1" applyFill="1" applyBorder="1" applyAlignment="1">
      <alignment horizontal="center" vertical="center" wrapText="1"/>
    </xf>
    <xf numFmtId="4" fontId="6" fillId="45" borderId="63" xfId="0" applyNumberFormat="1" applyFont="1" applyFill="1" applyBorder="1" applyAlignment="1">
      <alignment wrapText="1"/>
    </xf>
    <xf numFmtId="4" fontId="6" fillId="45" borderId="18" xfId="0" applyNumberFormat="1" applyFont="1" applyFill="1" applyBorder="1" applyAlignment="1">
      <alignment wrapText="1"/>
    </xf>
    <xf numFmtId="4" fontId="18" fillId="47" borderId="0" xfId="0" applyNumberFormat="1" applyFont="1" applyFill="1" applyBorder="1" applyAlignment="1">
      <alignment horizontal="center" wrapText="1"/>
    </xf>
    <xf numFmtId="4" fontId="23" fillId="47" borderId="28" xfId="0" applyNumberFormat="1" applyFont="1" applyFill="1" applyBorder="1" applyAlignment="1">
      <alignment wrapText="1"/>
    </xf>
    <xf numFmtId="4" fontId="8" fillId="47" borderId="0" xfId="0" applyNumberFormat="1" applyFont="1" applyFill="1" applyBorder="1" applyAlignment="1">
      <alignment horizontal="left" wrapText="1"/>
    </xf>
    <xf numFmtId="4" fontId="6" fillId="45" borderId="28" xfId="0" applyNumberFormat="1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4" fontId="14" fillId="42" borderId="44" xfId="0" applyNumberFormat="1" applyFont="1" applyFill="1" applyBorder="1" applyAlignment="1">
      <alignment horizontal="center"/>
    </xf>
    <xf numFmtId="4" fontId="14" fillId="42" borderId="43" xfId="0" applyNumberFormat="1" applyFont="1" applyFill="1" applyBorder="1" applyAlignment="1">
      <alignment horizontal="center"/>
    </xf>
    <xf numFmtId="4" fontId="6" fillId="42" borderId="41" xfId="0" applyNumberFormat="1" applyFont="1" applyFill="1" applyBorder="1" applyAlignment="1">
      <alignment horizontal="center" wrapText="1"/>
    </xf>
    <xf numFmtId="176" fontId="6" fillId="42" borderId="0" xfId="0" applyNumberFormat="1" applyFont="1" applyFill="1" applyBorder="1" applyAlignment="1">
      <alignment/>
    </xf>
    <xf numFmtId="4" fontId="10" fillId="3" borderId="11" xfId="0" applyNumberFormat="1" applyFont="1" applyFill="1" applyBorder="1" applyAlignment="1">
      <alignment horizontal="center" wrapText="1"/>
    </xf>
    <xf numFmtId="4" fontId="14" fillId="11" borderId="28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6" fillId="0" borderId="4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11" borderId="18" xfId="0" applyNumberFormat="1" applyFont="1" applyFill="1" applyBorder="1" applyAlignment="1">
      <alignment wrapText="1"/>
    </xf>
    <xf numFmtId="4" fontId="6" fillId="11" borderId="28" xfId="0" applyNumberFormat="1" applyFont="1" applyFill="1" applyBorder="1" applyAlignment="1">
      <alignment wrapText="1"/>
    </xf>
    <xf numFmtId="4" fontId="8" fillId="3" borderId="18" xfId="0" applyNumberFormat="1" applyFont="1" applyFill="1" applyBorder="1" applyAlignment="1">
      <alignment horizontal="right" wrapText="1"/>
    </xf>
    <xf numFmtId="4" fontId="8" fillId="3" borderId="20" xfId="0" applyNumberFormat="1" applyFont="1" applyFill="1" applyBorder="1" applyAlignment="1">
      <alignment horizontal="right" wrapText="1"/>
    </xf>
    <xf numFmtId="4" fontId="7" fillId="51" borderId="11" xfId="0" applyNumberFormat="1" applyFont="1" applyFill="1" applyBorder="1" applyAlignment="1">
      <alignment horizontal="center" vertical="center" wrapText="1"/>
    </xf>
    <xf numFmtId="4" fontId="6" fillId="51" borderId="28" xfId="0" applyNumberFormat="1" applyFont="1" applyFill="1" applyBorder="1" applyAlignment="1">
      <alignment wrapText="1"/>
    </xf>
    <xf numFmtId="4" fontId="18" fillId="41" borderId="13" xfId="0" applyNumberFormat="1" applyFont="1" applyFill="1" applyBorder="1" applyAlignment="1">
      <alignment horizontal="center"/>
    </xf>
    <xf numFmtId="176" fontId="18" fillId="41" borderId="36" xfId="0" applyNumberFormat="1" applyFont="1" applyFill="1" applyBorder="1" applyAlignment="1">
      <alignment horizontal="center" wrapText="1"/>
    </xf>
    <xf numFmtId="4" fontId="7" fillId="45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23" fillId="45" borderId="28" xfId="0" applyNumberFormat="1" applyFont="1" applyFill="1" applyBorder="1" applyAlignment="1">
      <alignment wrapText="1"/>
    </xf>
    <xf numFmtId="0" fontId="25" fillId="12" borderId="13" xfId="0" applyFont="1" applyFill="1" applyBorder="1" applyAlignment="1">
      <alignment horizontal="right"/>
    </xf>
    <xf numFmtId="4" fontId="6" fillId="12" borderId="36" xfId="0" applyNumberFormat="1" applyFont="1" applyFill="1" applyBorder="1" applyAlignment="1">
      <alignment/>
    </xf>
    <xf numFmtId="4" fontId="6" fillId="52" borderId="59" xfId="0" applyNumberFormat="1" applyFont="1" applyFill="1" applyBorder="1" applyAlignment="1">
      <alignment horizontal="center" wrapText="1"/>
    </xf>
    <xf numFmtId="4" fontId="1" fillId="0" borderId="41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8" fillId="3" borderId="48" xfId="0" applyNumberFormat="1" applyFont="1" applyFill="1" applyBorder="1" applyAlignment="1">
      <alignment horizontal="center" wrapText="1"/>
    </xf>
    <xf numFmtId="4" fontId="6" fillId="0" borderId="64" xfId="0" applyNumberFormat="1" applyFont="1" applyFill="1" applyBorder="1" applyAlignment="1" quotePrefix="1">
      <alignment horizontal="center"/>
    </xf>
    <xf numFmtId="0" fontId="10" fillId="0" borderId="60" xfId="0" applyFont="1" applyFill="1" applyBorder="1" applyAlignment="1">
      <alignment/>
    </xf>
    <xf numFmtId="4" fontId="6" fillId="0" borderId="60" xfId="0" applyNumberFormat="1" applyFont="1" applyFill="1" applyBorder="1" applyAlignment="1">
      <alignment/>
    </xf>
    <xf numFmtId="4" fontId="6" fillId="47" borderId="36" xfId="0" applyNumberFormat="1" applyFont="1" applyFill="1" applyBorder="1" applyAlignment="1">
      <alignment horizontal="left" wrapText="1"/>
    </xf>
    <xf numFmtId="4" fontId="23" fillId="51" borderId="28" xfId="0" applyNumberFormat="1" applyFont="1" applyFill="1" applyBorder="1" applyAlignment="1">
      <alignment wrapText="1"/>
    </xf>
    <xf numFmtId="4" fontId="23" fillId="42" borderId="28" xfId="0" applyNumberFormat="1" applyFont="1" applyFill="1" applyBorder="1" applyAlignment="1">
      <alignment wrapText="1"/>
    </xf>
    <xf numFmtId="4" fontId="5" fillId="42" borderId="11" xfId="0" applyNumberFormat="1" applyFont="1" applyFill="1" applyBorder="1" applyAlignment="1">
      <alignment horizontal="center" wrapText="1"/>
    </xf>
    <xf numFmtId="4" fontId="6" fillId="42" borderId="28" xfId="0" applyNumberFormat="1" applyFont="1" applyFill="1" applyBorder="1" applyAlignment="1">
      <alignment wrapText="1"/>
    </xf>
    <xf numFmtId="4" fontId="6" fillId="0" borderId="63" xfId="0" applyNumberFormat="1" applyFont="1" applyFill="1" applyBorder="1" applyAlignment="1">
      <alignment/>
    </xf>
    <xf numFmtId="4" fontId="14" fillId="45" borderId="28" xfId="0" applyNumberFormat="1" applyFont="1" applyFill="1" applyBorder="1" applyAlignment="1">
      <alignment wrapText="1"/>
    </xf>
    <xf numFmtId="4" fontId="6" fillId="48" borderId="18" xfId="0" applyNumberFormat="1" applyFont="1" applyFill="1" applyBorder="1" applyAlignment="1">
      <alignment wrapText="1"/>
    </xf>
    <xf numFmtId="4" fontId="14" fillId="48" borderId="28" xfId="0" applyNumberFormat="1" applyFont="1" applyFill="1" applyBorder="1" applyAlignment="1">
      <alignment wrapText="1"/>
    </xf>
    <xf numFmtId="4" fontId="14" fillId="42" borderId="28" xfId="0" applyNumberFormat="1" applyFont="1" applyFill="1" applyBorder="1" applyAlignment="1">
      <alignment wrapText="1"/>
    </xf>
    <xf numFmtId="174" fontId="18" fillId="47" borderId="0" xfId="0" applyNumberFormat="1" applyFont="1" applyFill="1" applyBorder="1" applyAlignment="1">
      <alignment horizontal="center"/>
    </xf>
    <xf numFmtId="4" fontId="5" fillId="49" borderId="11" xfId="0" applyNumberFormat="1" applyFont="1" applyFill="1" applyBorder="1" applyAlignment="1">
      <alignment horizontal="center" wrapText="1"/>
    </xf>
    <xf numFmtId="4" fontId="6" fillId="49" borderId="20" xfId="0" applyNumberFormat="1" applyFont="1" applyFill="1" applyBorder="1" applyAlignment="1">
      <alignment horizontal="right" wrapText="1"/>
    </xf>
    <xf numFmtId="4" fontId="14" fillId="53" borderId="28" xfId="0" applyNumberFormat="1" applyFont="1" applyFill="1" applyBorder="1" applyAlignment="1">
      <alignment wrapText="1"/>
    </xf>
    <xf numFmtId="176" fontId="18" fillId="47" borderId="0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42" borderId="20" xfId="0" applyNumberFormat="1" applyFont="1" applyFill="1" applyBorder="1" applyAlignment="1">
      <alignment horizontal="right" wrapText="1"/>
    </xf>
    <xf numFmtId="174" fontId="5" fillId="47" borderId="13" xfId="0" applyNumberFormat="1" applyFont="1" applyFill="1" applyBorder="1" applyAlignment="1">
      <alignment horizontal="center" wrapText="1"/>
    </xf>
    <xf numFmtId="4" fontId="5" fillId="47" borderId="40" xfId="0" applyNumberFormat="1" applyFont="1" applyFill="1" applyBorder="1" applyAlignment="1">
      <alignment/>
    </xf>
    <xf numFmtId="14" fontId="3" fillId="0" borderId="0" xfId="0" applyNumberFormat="1" applyFont="1" applyFill="1" applyBorder="1" applyAlignment="1" quotePrefix="1">
      <alignment/>
    </xf>
    <xf numFmtId="4" fontId="28" fillId="0" borderId="0" xfId="0" applyNumberFormat="1" applyFont="1" applyFill="1" applyBorder="1" applyAlignment="1">
      <alignment/>
    </xf>
    <xf numFmtId="174" fontId="5" fillId="10" borderId="13" xfId="0" applyNumberFormat="1" applyFont="1" applyFill="1" applyBorder="1" applyAlignment="1">
      <alignment horizontal="center"/>
    </xf>
    <xf numFmtId="174" fontId="5" fillId="10" borderId="40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left" wrapText="1"/>
    </xf>
    <xf numFmtId="174" fontId="5" fillId="47" borderId="13" xfId="0" applyNumberFormat="1" applyFont="1" applyFill="1" applyBorder="1" applyAlignment="1">
      <alignment horizontal="center"/>
    </xf>
    <xf numFmtId="174" fontId="5" fillId="47" borderId="40" xfId="0" applyNumberFormat="1" applyFont="1" applyFill="1" applyBorder="1" applyAlignment="1">
      <alignment horizontal="center"/>
    </xf>
    <xf numFmtId="4" fontId="6" fillId="33" borderId="44" xfId="0" applyNumberFormat="1" applyFont="1" applyFill="1" applyBorder="1" applyAlignment="1">
      <alignment horizontal="center"/>
    </xf>
    <xf numFmtId="4" fontId="6" fillId="33" borderId="43" xfId="0" applyNumberFormat="1" applyFont="1" applyFill="1" applyBorder="1" applyAlignment="1">
      <alignment horizontal="center"/>
    </xf>
    <xf numFmtId="174" fontId="10" fillId="0" borderId="13" xfId="0" applyNumberFormat="1" applyFont="1" applyFill="1" applyBorder="1" applyAlignment="1">
      <alignment horizontal="center"/>
    </xf>
    <xf numFmtId="174" fontId="10" fillId="0" borderId="40" xfId="0" applyNumberFormat="1" applyFont="1" applyFill="1" applyBorder="1" applyAlignment="1">
      <alignment horizontal="center"/>
    </xf>
    <xf numFmtId="4" fontId="10" fillId="47" borderId="48" xfId="0" applyNumberFormat="1" applyFont="1" applyFill="1" applyBorder="1" applyAlignment="1">
      <alignment horizontal="center" wrapText="1"/>
    </xf>
    <xf numFmtId="4" fontId="10" fillId="47" borderId="65" xfId="0" applyNumberFormat="1" applyFont="1" applyFill="1" applyBorder="1" applyAlignment="1">
      <alignment horizontal="center" wrapText="1"/>
    </xf>
    <xf numFmtId="4" fontId="6" fillId="52" borderId="32" xfId="0" applyNumberFormat="1" applyFont="1" applyFill="1" applyBorder="1" applyAlignment="1">
      <alignment horizontal="right"/>
    </xf>
    <xf numFmtId="4" fontId="6" fillId="52" borderId="63" xfId="0" applyNumberFormat="1" applyFont="1" applyFill="1" applyBorder="1" applyAlignment="1">
      <alignment horizontal="right"/>
    </xf>
    <xf numFmtId="4" fontId="6" fillId="52" borderId="53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left" wrapText="1"/>
    </xf>
    <xf numFmtId="4" fontId="6" fillId="0" borderId="13" xfId="0" applyNumberFormat="1" applyFont="1" applyBorder="1" applyAlignment="1">
      <alignment horizontal="left" wrapText="1"/>
    </xf>
    <xf numFmtId="4" fontId="6" fillId="0" borderId="40" xfId="0" applyNumberFormat="1" applyFont="1" applyBorder="1" applyAlignment="1">
      <alignment horizontal="left" wrapText="1"/>
    </xf>
    <xf numFmtId="4" fontId="10" fillId="10" borderId="13" xfId="0" applyNumberFormat="1" applyFont="1" applyFill="1" applyBorder="1" applyAlignment="1">
      <alignment horizontal="center" wrapText="1"/>
    </xf>
    <xf numFmtId="4" fontId="10" fillId="10" borderId="4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left" wrapText="1"/>
    </xf>
    <xf numFmtId="4" fontId="18" fillId="0" borderId="66" xfId="0" applyNumberFormat="1" applyFont="1" applyFill="1" applyBorder="1" applyAlignment="1">
      <alignment horizontal="center" wrapText="1"/>
    </xf>
    <xf numFmtId="4" fontId="18" fillId="0" borderId="48" xfId="0" applyNumberFormat="1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left" vertical="center" wrapText="1"/>
    </xf>
    <xf numFmtId="0" fontId="6" fillId="37" borderId="24" xfId="0" applyFont="1" applyFill="1" applyBorder="1" applyAlignment="1">
      <alignment horizontal="left"/>
    </xf>
    <xf numFmtId="4" fontId="6" fillId="37" borderId="67" xfId="0" applyNumberFormat="1" applyFont="1" applyFill="1" applyBorder="1" applyAlignment="1">
      <alignment/>
    </xf>
    <xf numFmtId="4" fontId="5" fillId="42" borderId="40" xfId="0" applyNumberFormat="1" applyFont="1" applyFill="1" applyBorder="1" applyAlignment="1">
      <alignment horizontal="center" wrapText="1"/>
    </xf>
    <xf numFmtId="0" fontId="7" fillId="42" borderId="44" xfId="0" applyFont="1" applyFill="1" applyBorder="1" applyAlignment="1">
      <alignment wrapText="1"/>
    </xf>
    <xf numFmtId="4" fontId="6" fillId="42" borderId="41" xfId="0" applyNumberFormat="1" applyFont="1" applyFill="1" applyBorder="1" applyAlignment="1">
      <alignment wrapText="1"/>
    </xf>
    <xf numFmtId="0" fontId="1" fillId="0" borderId="44" xfId="0" applyFont="1" applyFill="1" applyBorder="1" applyAlignment="1">
      <alignment wrapText="1"/>
    </xf>
    <xf numFmtId="4" fontId="14" fillId="6" borderId="0" xfId="0" applyNumberFormat="1" applyFont="1" applyFill="1" applyBorder="1" applyAlignment="1">
      <alignment horizontal="center"/>
    </xf>
    <xf numFmtId="0" fontId="7" fillId="42" borderId="0" xfId="0" applyFont="1" applyFill="1" applyBorder="1" applyAlignment="1">
      <alignment wrapText="1"/>
    </xf>
    <xf numFmtId="4" fontId="6" fillId="42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176" fontId="6" fillId="48" borderId="0" xfId="0" applyNumberFormat="1" applyFont="1" applyFill="1" applyBorder="1" applyAlignment="1">
      <alignment/>
    </xf>
    <xf numFmtId="4" fontId="6" fillId="40" borderId="17" xfId="0" applyNumberFormat="1" applyFont="1" applyFill="1" applyBorder="1" applyAlignment="1">
      <alignment wrapText="1"/>
    </xf>
    <xf numFmtId="4" fontId="6" fillId="5" borderId="17" xfId="0" applyNumberFormat="1" applyFont="1" applyFill="1" applyBorder="1" applyAlignment="1">
      <alignment wrapText="1"/>
    </xf>
    <xf numFmtId="4" fontId="6" fillId="10" borderId="17" xfId="0" applyNumberFormat="1" applyFont="1" applyFill="1" applyBorder="1" applyAlignment="1">
      <alignment wrapText="1"/>
    </xf>
    <xf numFmtId="4" fontId="6" fillId="44" borderId="17" xfId="0" applyNumberFormat="1" applyFont="1" applyFill="1" applyBorder="1" applyAlignment="1">
      <alignment wrapText="1"/>
    </xf>
    <xf numFmtId="4" fontId="14" fillId="34" borderId="29" xfId="0" applyNumberFormat="1" applyFont="1" applyFill="1" applyBorder="1" applyAlignment="1">
      <alignment wrapText="1"/>
    </xf>
    <xf numFmtId="4" fontId="23" fillId="0" borderId="29" xfId="0" applyNumberFormat="1" applyFont="1" applyFill="1" applyBorder="1" applyAlignment="1">
      <alignment wrapText="1"/>
    </xf>
    <xf numFmtId="4" fontId="23" fillId="13" borderId="29" xfId="0" applyNumberFormat="1" applyFont="1" applyFill="1" applyBorder="1" applyAlignment="1">
      <alignment wrapText="1"/>
    </xf>
    <xf numFmtId="4" fontId="14" fillId="44" borderId="29" xfId="0" applyNumberFormat="1" applyFont="1" applyFill="1" applyBorder="1" applyAlignment="1">
      <alignment wrapText="1"/>
    </xf>
    <xf numFmtId="4" fontId="23" fillId="11" borderId="29" xfId="0" applyNumberFormat="1" applyFont="1" applyFill="1" applyBorder="1" applyAlignment="1">
      <alignment wrapText="1"/>
    </xf>
    <xf numFmtId="4" fontId="14" fillId="40" borderId="29" xfId="0" applyNumberFormat="1" applyFont="1" applyFill="1" applyBorder="1" applyAlignment="1">
      <alignment wrapText="1"/>
    </xf>
    <xf numFmtId="4" fontId="23" fillId="41" borderId="29" xfId="0" applyNumberFormat="1" applyFont="1" applyFill="1" applyBorder="1" applyAlignment="1">
      <alignment wrapText="1"/>
    </xf>
    <xf numFmtId="4" fontId="14" fillId="47" borderId="29" xfId="0" applyNumberFormat="1" applyFont="1" applyFill="1" applyBorder="1" applyAlignment="1">
      <alignment wrapText="1"/>
    </xf>
    <xf numFmtId="4" fontId="14" fillId="0" borderId="29" xfId="0" applyNumberFormat="1" applyFont="1" applyFill="1" applyBorder="1" applyAlignment="1">
      <alignment wrapText="1"/>
    </xf>
    <xf numFmtId="4" fontId="23" fillId="48" borderId="29" xfId="0" applyNumberFormat="1" applyFont="1" applyFill="1" applyBorder="1" applyAlignment="1">
      <alignment wrapText="1"/>
    </xf>
    <xf numFmtId="4" fontId="23" fillId="45" borderId="29" xfId="0" applyNumberFormat="1" applyFont="1" applyFill="1" applyBorder="1" applyAlignment="1">
      <alignment wrapText="1"/>
    </xf>
    <xf numFmtId="4" fontId="23" fillId="47" borderId="29" xfId="0" applyNumberFormat="1" applyFont="1" applyFill="1" applyBorder="1" applyAlignment="1">
      <alignment wrapText="1"/>
    </xf>
    <xf numFmtId="4" fontId="14" fillId="11" borderId="29" xfId="0" applyNumberFormat="1" applyFont="1" applyFill="1" applyBorder="1" applyAlignment="1">
      <alignment wrapText="1"/>
    </xf>
    <xf numFmtId="4" fontId="14" fillId="45" borderId="29" xfId="0" applyNumberFormat="1" applyFont="1" applyFill="1" applyBorder="1" applyAlignment="1">
      <alignment wrapText="1"/>
    </xf>
    <xf numFmtId="4" fontId="14" fillId="48" borderId="29" xfId="0" applyNumberFormat="1" applyFont="1" applyFill="1" applyBorder="1" applyAlignment="1">
      <alignment wrapText="1"/>
    </xf>
    <xf numFmtId="4" fontId="23" fillId="51" borderId="29" xfId="0" applyNumberFormat="1" applyFont="1" applyFill="1" applyBorder="1" applyAlignment="1">
      <alignment wrapText="1"/>
    </xf>
    <xf numFmtId="4" fontId="14" fillId="36" borderId="29" xfId="0" applyNumberFormat="1" applyFont="1" applyFill="1" applyBorder="1" applyAlignment="1">
      <alignment wrapText="1"/>
    </xf>
    <xf numFmtId="4" fontId="6" fillId="35" borderId="29" xfId="0" applyNumberFormat="1" applyFont="1" applyFill="1" applyBorder="1" applyAlignment="1">
      <alignment wrapText="1"/>
    </xf>
    <xf numFmtId="4" fontId="18" fillId="10" borderId="41" xfId="0" applyNumberFormat="1" applyFont="1" applyFill="1" applyBorder="1" applyAlignment="1">
      <alignment horizontal="center" wrapText="1"/>
    </xf>
    <xf numFmtId="4" fontId="5" fillId="10" borderId="41" xfId="0" applyNumberFormat="1" applyFont="1" applyFill="1" applyBorder="1" applyAlignment="1">
      <alignment horizontal="right"/>
    </xf>
    <xf numFmtId="176" fontId="5" fillId="33" borderId="25" xfId="0" applyNumberFormat="1" applyFont="1" applyFill="1" applyBorder="1" applyAlignment="1">
      <alignment horizontal="center" wrapText="1"/>
    </xf>
    <xf numFmtId="4" fontId="18" fillId="44" borderId="43" xfId="0" applyNumberFormat="1" applyFont="1" applyFill="1" applyBorder="1" applyAlignment="1">
      <alignment horizontal="center" wrapText="1"/>
    </xf>
    <xf numFmtId="4" fontId="18" fillId="44" borderId="41" xfId="0" applyNumberFormat="1" applyFont="1" applyFill="1" applyBorder="1" applyAlignment="1">
      <alignment horizontal="center" wrapText="1"/>
    </xf>
    <xf numFmtId="4" fontId="14" fillId="44" borderId="64" xfId="0" applyNumberFormat="1" applyFont="1" applyFill="1" applyBorder="1" applyAlignment="1">
      <alignment horizontal="center"/>
    </xf>
    <xf numFmtId="4" fontId="6" fillId="43" borderId="17" xfId="0" applyNumberFormat="1" applyFont="1" applyFill="1" applyBorder="1" applyAlignment="1">
      <alignment horizontal="center" wrapText="1"/>
    </xf>
    <xf numFmtId="4" fontId="18" fillId="44" borderId="17" xfId="0" applyNumberFormat="1" applyFont="1" applyFill="1" applyBorder="1" applyAlignment="1">
      <alignment horizontal="center" wrapText="1"/>
    </xf>
    <xf numFmtId="4" fontId="18" fillId="44" borderId="64" xfId="0" applyNumberFormat="1" applyFont="1" applyFill="1" applyBorder="1" applyAlignment="1">
      <alignment horizontal="center" wrapText="1"/>
    </xf>
    <xf numFmtId="4" fontId="5" fillId="44" borderId="64" xfId="0" applyNumberFormat="1" applyFont="1" applyFill="1" applyBorder="1" applyAlignment="1">
      <alignment horizontal="center" wrapText="1"/>
    </xf>
    <xf numFmtId="4" fontId="18" fillId="43" borderId="0" xfId="0" applyNumberFormat="1" applyFont="1" applyFill="1" applyBorder="1" applyAlignment="1">
      <alignment horizontal="center" wrapText="1"/>
    </xf>
    <xf numFmtId="4" fontId="3" fillId="43" borderId="64" xfId="0" applyNumberFormat="1" applyFont="1" applyFill="1" applyBorder="1" applyAlignment="1">
      <alignment horizontal="left" wrapText="1"/>
    </xf>
    <xf numFmtId="4" fontId="6" fillId="0" borderId="17" xfId="0" applyNumberFormat="1" applyFont="1" applyFill="1" applyBorder="1" applyAlignment="1">
      <alignment horizontal="left" wrapText="1"/>
    </xf>
    <xf numFmtId="176" fontId="6" fillId="0" borderId="64" xfId="0" applyNumberFormat="1" applyFont="1" applyFill="1" applyBorder="1" applyAlignment="1">
      <alignment horizontal="left" wrapText="1"/>
    </xf>
    <xf numFmtId="174" fontId="18" fillId="47" borderId="17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wrapText="1"/>
    </xf>
    <xf numFmtId="4" fontId="8" fillId="47" borderId="66" xfId="0" applyNumberFormat="1" applyFont="1" applyFill="1" applyBorder="1" applyAlignment="1">
      <alignment horizontal="left" wrapText="1"/>
    </xf>
    <xf numFmtId="4" fontId="8" fillId="0" borderId="66" xfId="0" applyNumberFormat="1" applyFont="1" applyFill="1" applyBorder="1" applyAlignment="1">
      <alignment horizontal="left" wrapText="1"/>
    </xf>
    <xf numFmtId="4" fontId="3" fillId="0" borderId="66" xfId="0" applyNumberFormat="1" applyFont="1" applyFill="1" applyBorder="1" applyAlignment="1">
      <alignment horizontal="left" wrapText="1"/>
    </xf>
    <xf numFmtId="4" fontId="26" fillId="0" borderId="66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wrapText="1"/>
    </xf>
    <xf numFmtId="4" fontId="23" fillId="49" borderId="19" xfId="0" applyNumberFormat="1" applyFont="1" applyFill="1" applyBorder="1" applyAlignment="1">
      <alignment wrapText="1"/>
    </xf>
    <xf numFmtId="2" fontId="14" fillId="0" borderId="21" xfId="0" applyNumberFormat="1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 wrapText="1"/>
    </xf>
    <xf numFmtId="1" fontId="14" fillId="36" borderId="11" xfId="0" applyNumberFormat="1" applyFont="1" applyFill="1" applyBorder="1" applyAlignment="1">
      <alignment horizontal="center" vertical="center" wrapText="1"/>
    </xf>
    <xf numFmtId="1" fontId="14" fillId="35" borderId="11" xfId="0" applyNumberFormat="1" applyFont="1" applyFill="1" applyBorder="1" applyAlignment="1">
      <alignment horizontal="center" vertical="center" wrapText="1"/>
    </xf>
    <xf numFmtId="4" fontId="14" fillId="35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"/>
  <sheetViews>
    <sheetView tabSelected="1" zoomScalePageLayoutView="0" workbookViewId="0" topLeftCell="A10">
      <selection activeCell="BE18" sqref="BE18"/>
    </sheetView>
  </sheetViews>
  <sheetFormatPr defaultColWidth="9.00390625" defaultRowHeight="25.5" customHeight="1"/>
  <cols>
    <col min="1" max="1" width="2.875" style="1" customWidth="1"/>
    <col min="2" max="2" width="30.00390625" style="8" customWidth="1"/>
    <col min="3" max="3" width="11.375" style="26" bestFit="1" customWidth="1"/>
    <col min="4" max="4" width="9.125" style="2" hidden="1" customWidth="1"/>
    <col min="5" max="5" width="10.25390625" style="26" hidden="1" customWidth="1"/>
    <col min="6" max="6" width="12.00390625" style="2" hidden="1" customWidth="1"/>
    <col min="7" max="7" width="10.75390625" style="2" hidden="1" customWidth="1"/>
    <col min="8" max="8" width="9.125" style="2" hidden="1" customWidth="1"/>
    <col min="9" max="9" width="8.25390625" style="2" hidden="1" customWidth="1"/>
    <col min="10" max="10" width="10.75390625" style="2" hidden="1" customWidth="1"/>
    <col min="11" max="11" width="9.125" style="2" hidden="1" customWidth="1"/>
    <col min="12" max="12" width="11.50390625" style="65" hidden="1" customWidth="1"/>
    <col min="13" max="13" width="9.375" style="2" hidden="1" customWidth="1"/>
    <col min="14" max="14" width="9.50390625" style="2" hidden="1" customWidth="1"/>
    <col min="15" max="15" width="11.50390625" style="2" hidden="1" customWidth="1"/>
    <col min="16" max="16" width="10.375" style="2" hidden="1" customWidth="1"/>
    <col min="17" max="17" width="7.25390625" style="2" hidden="1" customWidth="1"/>
    <col min="18" max="18" width="10.75390625" style="1" customWidth="1"/>
    <col min="19" max="19" width="10.375" style="1" customWidth="1"/>
    <col min="20" max="21" width="9.875" style="28" hidden="1" customWidth="1"/>
    <col min="22" max="22" width="11.50390625" style="28" hidden="1" customWidth="1"/>
    <col min="23" max="23" width="10.00390625" style="28" hidden="1" customWidth="1"/>
    <col min="24" max="24" width="7.375" style="28" hidden="1" customWidth="1"/>
    <col min="25" max="25" width="9.125" style="28" hidden="1" customWidth="1"/>
    <col min="26" max="27" width="9.875" style="28" hidden="1" customWidth="1"/>
    <col min="28" max="28" width="11.50390625" style="28" hidden="1" customWidth="1"/>
    <col min="29" max="29" width="10.75390625" style="28" hidden="1" customWidth="1"/>
    <col min="30" max="30" width="9.875" style="28" hidden="1" customWidth="1"/>
    <col min="31" max="31" width="11.50390625" style="28" hidden="1" customWidth="1"/>
    <col min="32" max="32" width="11.125" style="28" hidden="1" customWidth="1"/>
    <col min="33" max="33" width="10.50390625" style="28" hidden="1" customWidth="1"/>
    <col min="34" max="34" width="9.125" style="28" hidden="1" customWidth="1"/>
    <col min="35" max="35" width="10.125" style="28" hidden="1" customWidth="1"/>
    <col min="36" max="36" width="9.125" style="28" hidden="1" customWidth="1"/>
    <col min="37" max="37" width="10.125" style="28" hidden="1" customWidth="1"/>
    <col min="38" max="38" width="9.875" style="28" hidden="1" customWidth="1"/>
    <col min="39" max="39" width="11.125" style="28" hidden="1" customWidth="1"/>
    <col min="40" max="40" width="10.375" style="28" hidden="1" customWidth="1"/>
    <col min="41" max="41" width="9.875" style="28" hidden="1" customWidth="1"/>
    <col min="42" max="42" width="9.875" style="247" hidden="1" customWidth="1"/>
    <col min="43" max="43" width="10.75390625" style="247" hidden="1" customWidth="1"/>
    <col min="44" max="44" width="10.25390625" style="247" hidden="1" customWidth="1"/>
    <col min="45" max="45" width="10.00390625" style="247" hidden="1" customWidth="1"/>
    <col min="46" max="46" width="8.875" style="247" hidden="1" customWidth="1"/>
    <col min="47" max="47" width="9.125" style="28" hidden="1" customWidth="1"/>
    <col min="48" max="48" width="9.875" style="28" hidden="1" customWidth="1"/>
    <col min="49" max="49" width="10.125" style="28" hidden="1" customWidth="1"/>
    <col min="50" max="50" width="11.00390625" style="28" hidden="1" customWidth="1"/>
    <col min="51" max="51" width="10.375" style="28" bestFit="1" customWidth="1"/>
    <col min="52" max="52" width="9.875" style="28" hidden="1" customWidth="1"/>
    <col min="53" max="53" width="9.125" style="28" hidden="1" customWidth="1"/>
    <col min="54" max="54" width="8.25390625" style="28" hidden="1" customWidth="1"/>
    <col min="55" max="55" width="12.125" style="28" customWidth="1"/>
    <col min="56" max="56" width="15.00390625" style="94" customWidth="1"/>
    <col min="57" max="57" width="15.00390625" style="1" customWidth="1"/>
    <col min="58" max="58" width="1.12109375" style="1" hidden="1" customWidth="1"/>
    <col min="59" max="59" width="9.875" style="1" hidden="1" customWidth="1"/>
    <col min="60" max="16384" width="9.00390625" style="1" customWidth="1"/>
  </cols>
  <sheetData>
    <row r="1" spans="1:57" s="3" customFormat="1" ht="14.25" customHeight="1">
      <c r="A1" s="12" t="s">
        <v>5</v>
      </c>
      <c r="B1" s="12"/>
      <c r="C1" s="25"/>
      <c r="D1" s="2"/>
      <c r="E1" s="26"/>
      <c r="F1" s="2"/>
      <c r="G1" s="2"/>
      <c r="H1" s="2"/>
      <c r="I1" s="2"/>
      <c r="J1" s="2"/>
      <c r="K1" s="2"/>
      <c r="L1" s="65"/>
      <c r="M1" s="2"/>
      <c r="N1" s="2"/>
      <c r="O1" s="2"/>
      <c r="P1" s="2"/>
      <c r="Q1" s="2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46"/>
      <c r="AQ1" s="246"/>
      <c r="AR1" s="246"/>
      <c r="AS1" s="246"/>
      <c r="AT1" s="246"/>
      <c r="AU1" s="237"/>
      <c r="AV1" s="237"/>
      <c r="AW1" s="237"/>
      <c r="AX1" s="237"/>
      <c r="AY1" s="237"/>
      <c r="AZ1" s="237"/>
      <c r="BA1" s="237"/>
      <c r="BB1" s="237"/>
      <c r="BC1" s="237"/>
      <c r="BD1" s="94"/>
      <c r="BE1" s="125" t="s">
        <v>32</v>
      </c>
    </row>
    <row r="2" ht="14.25">
      <c r="A2" s="8"/>
    </row>
    <row r="3" spans="1:56" s="3" customFormat="1" ht="15.75" thickBot="1">
      <c r="A3" s="12" t="s">
        <v>103</v>
      </c>
      <c r="C3" s="13"/>
      <c r="D3" s="2"/>
      <c r="E3" s="26"/>
      <c r="F3" s="2"/>
      <c r="G3" s="2"/>
      <c r="H3" s="2"/>
      <c r="I3" s="2"/>
      <c r="J3" s="2"/>
      <c r="K3" s="2"/>
      <c r="L3" s="65"/>
      <c r="M3" s="2"/>
      <c r="N3" s="2"/>
      <c r="O3" s="2"/>
      <c r="P3" s="2"/>
      <c r="Q3" s="2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46"/>
      <c r="AQ3" s="246"/>
      <c r="AR3" s="246"/>
      <c r="AS3" s="246"/>
      <c r="AT3" s="246"/>
      <c r="AU3" s="237"/>
      <c r="AV3" s="237"/>
      <c r="AW3" s="237"/>
      <c r="AX3" s="237"/>
      <c r="AY3" s="237"/>
      <c r="AZ3" s="237"/>
      <c r="BA3" s="237"/>
      <c r="BB3" s="237"/>
      <c r="BC3" s="237"/>
      <c r="BD3" s="133"/>
    </row>
    <row r="4" spans="1:59" s="9" customFormat="1" ht="45.75" customHeight="1" thickBot="1">
      <c r="A4" s="84" t="s">
        <v>9</v>
      </c>
      <c r="B4" s="85" t="s">
        <v>0</v>
      </c>
      <c r="C4" s="145" t="s">
        <v>45</v>
      </c>
      <c r="D4" s="18" t="s">
        <v>46</v>
      </c>
      <c r="E4" s="35" t="s">
        <v>16</v>
      </c>
      <c r="F4" s="66" t="s">
        <v>47</v>
      </c>
      <c r="G4" s="117" t="s">
        <v>30</v>
      </c>
      <c r="H4" s="18" t="s">
        <v>41</v>
      </c>
      <c r="I4" s="118" t="s">
        <v>49</v>
      </c>
      <c r="J4" s="120" t="s">
        <v>48</v>
      </c>
      <c r="K4" s="35" t="s">
        <v>17</v>
      </c>
      <c r="L4" s="66" t="s">
        <v>33</v>
      </c>
      <c r="M4" s="19" t="s">
        <v>50</v>
      </c>
      <c r="N4" s="35" t="s">
        <v>29</v>
      </c>
      <c r="O4" s="66" t="s">
        <v>64</v>
      </c>
      <c r="P4" s="117" t="s">
        <v>38</v>
      </c>
      <c r="Q4" s="117" t="s">
        <v>51</v>
      </c>
      <c r="R4" s="157" t="s">
        <v>65</v>
      </c>
      <c r="S4" s="157" t="s">
        <v>97</v>
      </c>
      <c r="T4" s="244" t="s">
        <v>60</v>
      </c>
      <c r="U4" s="270" t="s">
        <v>73</v>
      </c>
      <c r="V4" s="66" t="s">
        <v>74</v>
      </c>
      <c r="W4" s="117" t="s">
        <v>75</v>
      </c>
      <c r="X4" s="117" t="s">
        <v>76</v>
      </c>
      <c r="Y4" s="244" t="s">
        <v>61</v>
      </c>
      <c r="Z4" s="275" t="s">
        <v>78</v>
      </c>
      <c r="AA4" s="270" t="s">
        <v>81</v>
      </c>
      <c r="AB4" s="66" t="s">
        <v>82</v>
      </c>
      <c r="AC4" s="244" t="s">
        <v>62</v>
      </c>
      <c r="AD4" s="270" t="s">
        <v>86</v>
      </c>
      <c r="AE4" s="66" t="s">
        <v>87</v>
      </c>
      <c r="AF4" s="117" t="s">
        <v>98</v>
      </c>
      <c r="AG4" s="66" t="s">
        <v>88</v>
      </c>
      <c r="AH4" s="331" t="s">
        <v>89</v>
      </c>
      <c r="AI4" s="331" t="s">
        <v>100</v>
      </c>
      <c r="AJ4" s="346" t="s">
        <v>101</v>
      </c>
      <c r="AK4" s="371" t="s">
        <v>106</v>
      </c>
      <c r="AL4" s="66" t="s">
        <v>105</v>
      </c>
      <c r="AM4" s="117" t="s">
        <v>107</v>
      </c>
      <c r="AN4" s="117" t="s">
        <v>108</v>
      </c>
      <c r="AO4" s="331" t="s">
        <v>90</v>
      </c>
      <c r="AP4" s="331" t="s">
        <v>109</v>
      </c>
      <c r="AQ4" s="371" t="s">
        <v>116</v>
      </c>
      <c r="AR4" s="66" t="s">
        <v>118</v>
      </c>
      <c r="AS4" s="117" t="s">
        <v>120</v>
      </c>
      <c r="AT4" s="117" t="s">
        <v>122</v>
      </c>
      <c r="AU4" s="331" t="s">
        <v>91</v>
      </c>
      <c r="AV4" s="331" t="s">
        <v>123</v>
      </c>
      <c r="AW4" s="371" t="s">
        <v>132</v>
      </c>
      <c r="AX4" s="66" t="s">
        <v>128</v>
      </c>
      <c r="AY4" s="157" t="s">
        <v>97</v>
      </c>
      <c r="AZ4" s="331" t="s">
        <v>92</v>
      </c>
      <c r="BA4" s="331" t="s">
        <v>93</v>
      </c>
      <c r="BB4" s="331" t="s">
        <v>94</v>
      </c>
      <c r="BC4" s="367" t="s">
        <v>104</v>
      </c>
      <c r="BD4" s="183" t="s">
        <v>52</v>
      </c>
      <c r="BE4" s="177" t="s">
        <v>134</v>
      </c>
      <c r="BF4" s="85" t="s">
        <v>83</v>
      </c>
      <c r="BG4" s="299" t="s">
        <v>119</v>
      </c>
    </row>
    <row r="5" spans="1:59" s="5" customFormat="1" ht="21" customHeight="1">
      <c r="A5" s="49">
        <v>1</v>
      </c>
      <c r="B5" s="86" t="s">
        <v>24</v>
      </c>
      <c r="C5" s="146">
        <v>607098.92</v>
      </c>
      <c r="D5" s="24">
        <v>76000</v>
      </c>
      <c r="E5" s="90">
        <v>72639.27</v>
      </c>
      <c r="F5" s="222">
        <f aca="true" t="shared" si="0" ref="F5:F10">D5-E5</f>
        <v>3360.729999999996</v>
      </c>
      <c r="G5" s="23">
        <v>0</v>
      </c>
      <c r="H5" s="24">
        <v>75086.65</v>
      </c>
      <c r="I5" s="23">
        <f>G5*G15/100</f>
        <v>0</v>
      </c>
      <c r="J5" s="128">
        <f>H5+I5+5985.82</f>
        <v>81072.47</v>
      </c>
      <c r="K5" s="36">
        <v>82019.06</v>
      </c>
      <c r="L5" s="164">
        <f>J5-K5</f>
        <v>-946.5899999999965</v>
      </c>
      <c r="M5" s="24">
        <f>80345-5985.82+6263.82</f>
        <v>80623</v>
      </c>
      <c r="N5" s="36">
        <f>81341.04</f>
        <v>81341.04</v>
      </c>
      <c r="O5" s="248">
        <f aca="true" t="shared" si="1" ref="O5:O10">M5-N5</f>
        <v>-718.0399999999936</v>
      </c>
      <c r="P5" s="23"/>
      <c r="Q5" s="23"/>
      <c r="R5" s="158">
        <f>E5+K5+N5</f>
        <v>235999.37</v>
      </c>
      <c r="S5" s="158">
        <f>U5++AA5+AD5</f>
        <v>217972.1</v>
      </c>
      <c r="T5" s="245">
        <f>75000-6263.82</f>
        <v>68736.18</v>
      </c>
      <c r="U5" s="271">
        <v>68632.74</v>
      </c>
      <c r="V5" s="245">
        <f>T5-U5</f>
        <v>103.43999999998778</v>
      </c>
      <c r="W5" s="245"/>
      <c r="X5" s="245"/>
      <c r="Y5" s="245">
        <v>75000</v>
      </c>
      <c r="Z5" s="276">
        <f>X5+Y5+12742.9</f>
        <v>87742.9</v>
      </c>
      <c r="AA5" s="271">
        <v>89091.27</v>
      </c>
      <c r="AB5" s="294">
        <f aca="true" t="shared" si="2" ref="AB5:AB10">Z5-AA5</f>
        <v>-1348.37000000001</v>
      </c>
      <c r="AC5" s="245">
        <f>73005.16-12742.9</f>
        <v>60262.26</v>
      </c>
      <c r="AD5" s="328">
        <v>60248.09</v>
      </c>
      <c r="AE5" s="245">
        <f aca="true" t="shared" si="3" ref="AE5:AE10">AC5-AD5</f>
        <v>14.17000000000553</v>
      </c>
      <c r="AF5" s="245"/>
      <c r="AG5" s="330">
        <f aca="true" t="shared" si="4" ref="AG5:AG10">AH5+AO5+AU5+AZ5+BA5+BB5</f>
        <v>308111.83999999997</v>
      </c>
      <c r="AH5" s="245">
        <v>75000</v>
      </c>
      <c r="AI5" s="245"/>
      <c r="AJ5" s="276">
        <f>AH5+AI5</f>
        <v>75000</v>
      </c>
      <c r="AK5" s="373">
        <v>72407.82</v>
      </c>
      <c r="AL5" s="389">
        <f aca="true" t="shared" si="5" ref="AL5:AL10">AJ5-AK5</f>
        <v>2592.179999999993</v>
      </c>
      <c r="AM5" s="329"/>
      <c r="AN5" s="329"/>
      <c r="AO5" s="245">
        <v>75000</v>
      </c>
      <c r="AP5" s="359">
        <f aca="true" t="shared" si="6" ref="AP5:AP10">AN5+AO5</f>
        <v>75000</v>
      </c>
      <c r="AQ5" s="393">
        <v>63874.11</v>
      </c>
      <c r="AR5" s="396">
        <f aca="true" t="shared" si="7" ref="AR5:AR10">AP5-AQ5</f>
        <v>11125.89</v>
      </c>
      <c r="AS5" s="395"/>
      <c r="AT5" s="395"/>
      <c r="AU5" s="245">
        <v>50000</v>
      </c>
      <c r="AV5" s="330">
        <f>AT5+AU5+24195.51</f>
        <v>74195.51</v>
      </c>
      <c r="AW5" s="393">
        <v>74432.24</v>
      </c>
      <c r="AX5" s="335">
        <f aca="true" t="shared" si="8" ref="AX5:AX10">AV5-AW5</f>
        <v>-236.73000000001048</v>
      </c>
      <c r="AY5" s="393">
        <f aca="true" t="shared" si="9" ref="AY5:AY10">AK5+AQ5+AW5</f>
        <v>210714.16999999998</v>
      </c>
      <c r="AZ5" s="245">
        <f>75000-24195.51</f>
        <v>50804.490000000005</v>
      </c>
      <c r="BA5" s="245">
        <v>55000</v>
      </c>
      <c r="BB5" s="245">
        <v>2307.35</v>
      </c>
      <c r="BC5" s="388">
        <f aca="true" t="shared" si="10" ref="BC5:BC10">AZ5+BA5+BB5</f>
        <v>108111.84000000001</v>
      </c>
      <c r="BD5" s="121">
        <f aca="true" t="shared" si="11" ref="BD5:BD10">R5+S5+AY5+BC5</f>
        <v>772797.4799999999</v>
      </c>
      <c r="BE5" s="80">
        <f aca="true" t="shared" si="12" ref="BE5:BE10">R5+S5+AK5+AQ5+AW5</f>
        <v>664685.64</v>
      </c>
      <c r="BF5" s="199"/>
      <c r="BG5" s="76">
        <f>-AR5</f>
        <v>-11125.89</v>
      </c>
    </row>
    <row r="6" spans="1:59" s="5" customFormat="1" ht="22.5" customHeight="1">
      <c r="A6" s="49">
        <v>2</v>
      </c>
      <c r="B6" s="86" t="s">
        <v>25</v>
      </c>
      <c r="C6" s="146">
        <v>464798.19</v>
      </c>
      <c r="D6" s="24">
        <f>41000+3278.19</f>
        <v>44278.19</v>
      </c>
      <c r="E6" s="90">
        <v>45305.62</v>
      </c>
      <c r="F6" s="223">
        <f t="shared" si="0"/>
        <v>-1027.4300000000003</v>
      </c>
      <c r="G6" s="23">
        <f>(C6+E6)/13</f>
        <v>39238.75461538461</v>
      </c>
      <c r="H6" s="24">
        <f>39651.95-3278.19</f>
        <v>36373.759999999995</v>
      </c>
      <c r="I6" s="23">
        <f>G6*G15/100</f>
        <v>1862.7192952642843</v>
      </c>
      <c r="J6" s="128">
        <f>H6+I6+1717.55</f>
        <v>39954.029295264285</v>
      </c>
      <c r="K6" s="36">
        <v>40851.96</v>
      </c>
      <c r="L6" s="164">
        <f>J6-K6</f>
        <v>-897.9307047357142</v>
      </c>
      <c r="M6" s="24">
        <f>42867.46-1717.55</f>
        <v>41149.909999999996</v>
      </c>
      <c r="N6" s="36">
        <v>41897.24</v>
      </c>
      <c r="O6" s="248">
        <f t="shared" si="1"/>
        <v>-747.3300000000017</v>
      </c>
      <c r="P6" s="23"/>
      <c r="Q6" s="23"/>
      <c r="R6" s="158">
        <f>E6+K6+N6</f>
        <v>128054.82</v>
      </c>
      <c r="S6" s="158">
        <f aca="true" t="shared" si="13" ref="S6:S12">U6++AA6+AD6</f>
        <v>119280.42000000001</v>
      </c>
      <c r="T6" s="245">
        <f>39000+3798.05</f>
        <v>42798.05</v>
      </c>
      <c r="U6" s="271">
        <v>43227.03</v>
      </c>
      <c r="V6" s="272">
        <f aca="true" t="shared" si="14" ref="V6:V12">T6-U6</f>
        <v>-428.9799999999959</v>
      </c>
      <c r="W6" s="245">
        <f>(R6+U6)/4</f>
        <v>42820.4625</v>
      </c>
      <c r="X6" s="245">
        <f>W6*X15/100</f>
        <v>-9861.23144611651</v>
      </c>
      <c r="Y6" s="245">
        <f>39000-3798.05</f>
        <v>35201.95</v>
      </c>
      <c r="Z6" s="276">
        <f>X6+Y6+3258.21</f>
        <v>28598.92855388349</v>
      </c>
      <c r="AA6" s="271">
        <v>40276.88</v>
      </c>
      <c r="AB6" s="294">
        <f t="shared" si="2"/>
        <v>-11677.951446116509</v>
      </c>
      <c r="AC6" s="245">
        <f>38438.8-3258.21</f>
        <v>35180.590000000004</v>
      </c>
      <c r="AD6" s="328">
        <v>35776.51</v>
      </c>
      <c r="AE6" s="335">
        <f t="shared" si="3"/>
        <v>-595.9199999999983</v>
      </c>
      <c r="AF6" s="330">
        <f>(R6+S6)/6</f>
        <v>41222.54</v>
      </c>
      <c r="AG6" s="330">
        <f t="shared" si="4"/>
        <v>175410.96</v>
      </c>
      <c r="AH6" s="329">
        <v>40000</v>
      </c>
      <c r="AI6" s="329">
        <f>AF6*AF17/100</f>
        <v>-24907.573956023774</v>
      </c>
      <c r="AJ6" s="276">
        <f>AH6+AI6+3754.86</f>
        <v>18847.286043976226</v>
      </c>
      <c r="AK6" s="373">
        <v>45404.49</v>
      </c>
      <c r="AL6" s="350">
        <f t="shared" si="5"/>
        <v>-26557.20395602377</v>
      </c>
      <c r="AM6" s="329">
        <f>(R6+S6+AK6)/7</f>
        <v>41819.961428571434</v>
      </c>
      <c r="AN6" s="329">
        <f>AM6*AN16/100</f>
        <v>300.49983911940785</v>
      </c>
      <c r="AO6" s="329">
        <f>40000-3754.86</f>
        <v>36245.14</v>
      </c>
      <c r="AP6" s="359">
        <f>AN6+AO6+3499.97</f>
        <v>40045.60983911941</v>
      </c>
      <c r="AQ6" s="393">
        <v>41107.08</v>
      </c>
      <c r="AR6" s="335">
        <f t="shared" si="7"/>
        <v>-1061.4701608805917</v>
      </c>
      <c r="AS6" s="395">
        <f>(R6+S6+AK6+AQ6)/8</f>
        <v>41730.85125000001</v>
      </c>
      <c r="AT6" s="395">
        <f>AS6*AT16/100</f>
        <v>4215.481133155605</v>
      </c>
      <c r="AU6" s="329">
        <f>35000-3499.97</f>
        <v>31500.03</v>
      </c>
      <c r="AV6" s="330">
        <f>AT6+AU6</f>
        <v>35715.5111331556</v>
      </c>
      <c r="AW6" s="393">
        <v>36362.27</v>
      </c>
      <c r="AX6" s="335">
        <f t="shared" si="8"/>
        <v>-646.7588668443932</v>
      </c>
      <c r="AY6" s="393">
        <f t="shared" si="9"/>
        <v>122873.84</v>
      </c>
      <c r="AZ6" s="329">
        <v>40000</v>
      </c>
      <c r="BA6" s="329">
        <v>25000</v>
      </c>
      <c r="BB6" s="329">
        <v>2665.79</v>
      </c>
      <c r="BC6" s="388">
        <f t="shared" si="10"/>
        <v>67665.79</v>
      </c>
      <c r="BD6" s="121">
        <f t="shared" si="11"/>
        <v>437874.87</v>
      </c>
      <c r="BE6" s="80">
        <f t="shared" si="12"/>
        <v>370209.0800000001</v>
      </c>
      <c r="BF6" s="200"/>
      <c r="BG6" s="77">
        <f>+AT6</f>
        <v>4215.481133155605</v>
      </c>
    </row>
    <row r="7" spans="1:59" s="5" customFormat="1" ht="22.5" customHeight="1">
      <c r="A7" s="49">
        <v>3</v>
      </c>
      <c r="B7" s="86" t="s">
        <v>26</v>
      </c>
      <c r="C7" s="146">
        <v>837260.07</v>
      </c>
      <c r="D7" s="24">
        <f>44000+84.37</f>
        <v>44084.37</v>
      </c>
      <c r="E7" s="90">
        <v>102163.79</v>
      </c>
      <c r="F7" s="223">
        <f t="shared" si="0"/>
        <v>-58079.41999999999</v>
      </c>
      <c r="G7" s="23">
        <f>(C7+E7)/13</f>
        <v>72263.37384615385</v>
      </c>
      <c r="H7" s="24">
        <f>43252.56-84.37</f>
        <v>43168.189999999995</v>
      </c>
      <c r="I7" s="23">
        <f>G7*G15/100</f>
        <v>3430.4447764341417</v>
      </c>
      <c r="J7" s="128">
        <f>H7+I7</f>
        <v>46598.63477643413</v>
      </c>
      <c r="K7" s="36">
        <v>88732.42</v>
      </c>
      <c r="L7" s="164">
        <f aca="true" t="shared" si="15" ref="L7:L12">J7-K7</f>
        <v>-42133.785223565865</v>
      </c>
      <c r="M7" s="24">
        <v>46363.55</v>
      </c>
      <c r="N7" s="36">
        <v>100874.67</v>
      </c>
      <c r="O7" s="248">
        <f t="shared" si="1"/>
        <v>-54511.119999999995</v>
      </c>
      <c r="P7" s="23"/>
      <c r="Q7" s="23"/>
      <c r="R7" s="158">
        <f aca="true" t="shared" si="16" ref="R7:R12">E7+K7+N7</f>
        <v>291770.88</v>
      </c>
      <c r="S7" s="158">
        <f t="shared" si="13"/>
        <v>309456.52999999997</v>
      </c>
      <c r="T7" s="245">
        <v>43000</v>
      </c>
      <c r="U7" s="271">
        <v>90857.62</v>
      </c>
      <c r="V7" s="272">
        <f t="shared" si="14"/>
        <v>-47857.619999999995</v>
      </c>
      <c r="W7" s="245">
        <f>(R7+U7)/4</f>
        <v>95657.125</v>
      </c>
      <c r="X7" s="245">
        <f>W7*X15/100</f>
        <v>-22029.118650810877</v>
      </c>
      <c r="Y7" s="245">
        <v>43000</v>
      </c>
      <c r="Z7" s="276">
        <f>X7+Y7+1233.83</f>
        <v>22204.71134918912</v>
      </c>
      <c r="AA7" s="271">
        <v>114367.65</v>
      </c>
      <c r="AB7" s="294">
        <f t="shared" si="2"/>
        <v>-92162.93865081087</v>
      </c>
      <c r="AC7" s="245">
        <f>42813.56-1233.83+58.42</f>
        <v>41638.149999999994</v>
      </c>
      <c r="AD7" s="328">
        <v>104231.26</v>
      </c>
      <c r="AE7" s="335">
        <f t="shared" si="3"/>
        <v>-62593.11</v>
      </c>
      <c r="AF7" s="330">
        <f>(R7+S7)/6</f>
        <v>100204.56833333331</v>
      </c>
      <c r="AG7" s="330">
        <f t="shared" si="4"/>
        <v>219752.75</v>
      </c>
      <c r="AH7" s="329">
        <f>52000-58.42</f>
        <v>51941.58</v>
      </c>
      <c r="AI7" s="329">
        <f>AF7*AF17/100</f>
        <v>-60545.82508729296</v>
      </c>
      <c r="AJ7" s="276">
        <f>AH7+AI7+549.02</f>
        <v>-8055.225087292954</v>
      </c>
      <c r="AK7" s="373">
        <v>112107.48</v>
      </c>
      <c r="AL7" s="350">
        <f t="shared" si="5"/>
        <v>-120162.70508729295</v>
      </c>
      <c r="AM7" s="329">
        <f>(R7+S7+AK7)/7</f>
        <v>101904.98428571426</v>
      </c>
      <c r="AN7" s="329">
        <f>AM7*AN16/100</f>
        <v>732.244371760746</v>
      </c>
      <c r="AO7" s="329">
        <f>52000-549.02</f>
        <v>51450.98</v>
      </c>
      <c r="AP7" s="400">
        <f t="shared" si="6"/>
        <v>52183.22437176075</v>
      </c>
      <c r="AQ7" s="393">
        <v>110677.87</v>
      </c>
      <c r="AR7" s="335">
        <f t="shared" si="7"/>
        <v>-58494.64562823925</v>
      </c>
      <c r="AS7" s="395">
        <f>(R6+S6+AK7+AQ7)/8</f>
        <v>58765.07375</v>
      </c>
      <c r="AT7" s="395">
        <f>AS7*AT16/100</f>
        <v>5936.209117747692</v>
      </c>
      <c r="AU7" s="329">
        <v>45000</v>
      </c>
      <c r="AV7" s="330">
        <f>AT7+AU7</f>
        <v>50936.20911774769</v>
      </c>
      <c r="AW7" s="393">
        <v>121620.75</v>
      </c>
      <c r="AX7" s="335">
        <f t="shared" si="8"/>
        <v>-70684.5408822523</v>
      </c>
      <c r="AY7" s="393">
        <f t="shared" si="9"/>
        <v>344406.1</v>
      </c>
      <c r="AZ7" s="329">
        <v>52000</v>
      </c>
      <c r="BA7" s="329">
        <v>17000</v>
      </c>
      <c r="BB7" s="329">
        <v>2360.19</v>
      </c>
      <c r="BC7" s="388">
        <f t="shared" si="10"/>
        <v>71360.19</v>
      </c>
      <c r="BD7" s="121">
        <f t="shared" si="11"/>
        <v>1016993.7</v>
      </c>
      <c r="BE7" s="80">
        <f t="shared" si="12"/>
        <v>945633.5099999999</v>
      </c>
      <c r="BF7" s="200"/>
      <c r="BG7" s="77">
        <f>+AT7</f>
        <v>5936.209117747692</v>
      </c>
    </row>
    <row r="8" spans="1:59" s="5" customFormat="1" ht="22.5" customHeight="1">
      <c r="A8" s="49">
        <v>4</v>
      </c>
      <c r="B8" s="86" t="s">
        <v>27</v>
      </c>
      <c r="C8" s="147">
        <v>1202864.54</v>
      </c>
      <c r="D8" s="30">
        <f>100000+25308.49</f>
        <v>125308.49</v>
      </c>
      <c r="E8" s="91">
        <v>152484.23</v>
      </c>
      <c r="F8" s="223">
        <f t="shared" si="0"/>
        <v>-27175.740000000005</v>
      </c>
      <c r="G8" s="23">
        <f>(C8+E8)/13</f>
        <v>104257.5976923077</v>
      </c>
      <c r="H8" s="30">
        <f>99090.18-25308.49</f>
        <v>73781.68999999999</v>
      </c>
      <c r="I8" s="74">
        <f>G8*G15/100</f>
        <v>4949.255928301564</v>
      </c>
      <c r="J8" s="128">
        <f>H8+I8</f>
        <v>78730.94592830155</v>
      </c>
      <c r="K8" s="36">
        <v>108354.7</v>
      </c>
      <c r="L8" s="164">
        <f t="shared" si="15"/>
        <v>-29623.75407169845</v>
      </c>
      <c r="M8" s="30">
        <v>112234.68</v>
      </c>
      <c r="N8" s="71">
        <v>141844.15</v>
      </c>
      <c r="O8" s="164">
        <f t="shared" si="1"/>
        <v>-29609.47</v>
      </c>
      <c r="P8" s="23"/>
      <c r="Q8" s="23"/>
      <c r="R8" s="158">
        <f t="shared" si="16"/>
        <v>402683.07999999996</v>
      </c>
      <c r="S8" s="158">
        <f t="shared" si="13"/>
        <v>434543.66000000003</v>
      </c>
      <c r="T8" s="245">
        <f>105000+11186.04</f>
        <v>116186.04000000001</v>
      </c>
      <c r="U8" s="271">
        <v>139789.21</v>
      </c>
      <c r="V8" s="272">
        <f t="shared" si="14"/>
        <v>-23603.169999999984</v>
      </c>
      <c r="W8" s="245">
        <f>(R8+U8)/4</f>
        <v>135618.07249999998</v>
      </c>
      <c r="X8" s="245">
        <f>W8*X15/100</f>
        <v>-31231.825233057873</v>
      </c>
      <c r="Y8" s="245">
        <f>105000-11186.04</f>
        <v>93813.95999999999</v>
      </c>
      <c r="Z8" s="276">
        <f>X8+Y8+21753.15</f>
        <v>84335.28476694212</v>
      </c>
      <c r="AA8" s="271">
        <v>142227.55</v>
      </c>
      <c r="AB8" s="294">
        <f t="shared" si="2"/>
        <v>-57892.26523305787</v>
      </c>
      <c r="AC8" s="245">
        <f>104743.01-21753.15+50295.38</f>
        <v>133285.24</v>
      </c>
      <c r="AD8" s="328">
        <v>152526.9</v>
      </c>
      <c r="AE8" s="335">
        <f t="shared" si="3"/>
        <v>-19241.660000000003</v>
      </c>
      <c r="AF8" s="330">
        <f>(R8+S8)/6</f>
        <v>139537.79</v>
      </c>
      <c r="AG8" s="330">
        <f t="shared" si="4"/>
        <v>458864.62</v>
      </c>
      <c r="AH8" s="329">
        <f>120000-50295.38</f>
        <v>69704.62</v>
      </c>
      <c r="AI8" s="329">
        <f>AF8*AF17/100</f>
        <v>-84311.83095668328</v>
      </c>
      <c r="AJ8" s="276">
        <f>AH8+AI8+16184.54</f>
        <v>1577.3290433167203</v>
      </c>
      <c r="AK8" s="373">
        <v>106409.52</v>
      </c>
      <c r="AL8" s="350">
        <f t="shared" si="5"/>
        <v>-104832.19095668328</v>
      </c>
      <c r="AM8" s="329">
        <f>(R8+S8+AK8)/7</f>
        <v>134805.18</v>
      </c>
      <c r="AN8" s="329">
        <f>AM8*AN16/100</f>
        <v>968.6506997777161</v>
      </c>
      <c r="AO8" s="329">
        <f>120000-16184.54</f>
        <v>103815.45999999999</v>
      </c>
      <c r="AP8" s="359">
        <f>AN8+AO8+4735.77</f>
        <v>109519.88069977771</v>
      </c>
      <c r="AQ8" s="393">
        <v>133753.7</v>
      </c>
      <c r="AR8" s="335">
        <f t="shared" si="7"/>
        <v>-24233.819300222298</v>
      </c>
      <c r="AS8" s="395">
        <f>(R8+S8+AK8+AQ8)/8</f>
        <v>134673.745</v>
      </c>
      <c r="AT8" s="395">
        <f>AS8*AT16/100</f>
        <v>13604.194838438834</v>
      </c>
      <c r="AU8" s="329">
        <f>90000-4735.77</f>
        <v>85264.23</v>
      </c>
      <c r="AV8" s="330">
        <f>AT8+AU8+1955.16</f>
        <v>100823.58483843884</v>
      </c>
      <c r="AW8" s="393">
        <v>119547.32</v>
      </c>
      <c r="AX8" s="335">
        <f t="shared" si="8"/>
        <v>-18723.73516156117</v>
      </c>
      <c r="AY8" s="393">
        <f t="shared" si="9"/>
        <v>359710.54000000004</v>
      </c>
      <c r="AZ8" s="329">
        <f>120000-1955.16</f>
        <v>118044.84</v>
      </c>
      <c r="BA8" s="329">
        <v>80000</v>
      </c>
      <c r="BB8" s="329">
        <v>2035.47</v>
      </c>
      <c r="BC8" s="388">
        <f t="shared" si="10"/>
        <v>200080.31</v>
      </c>
      <c r="BD8" s="121">
        <f t="shared" si="11"/>
        <v>1397017.59</v>
      </c>
      <c r="BE8" s="80">
        <f t="shared" si="12"/>
        <v>1196937.28</v>
      </c>
      <c r="BF8" s="200"/>
      <c r="BG8" s="77">
        <f>+AT8</f>
        <v>13604.194838438834</v>
      </c>
    </row>
    <row r="9" spans="1:59" s="5" customFormat="1" ht="22.5" customHeight="1">
      <c r="A9" s="49">
        <v>5</v>
      </c>
      <c r="B9" s="86" t="s">
        <v>40</v>
      </c>
      <c r="C9" s="146">
        <v>315286.38</v>
      </c>
      <c r="D9" s="24">
        <v>37000</v>
      </c>
      <c r="E9" s="90">
        <v>34339.24</v>
      </c>
      <c r="F9" s="222">
        <f t="shared" si="0"/>
        <v>2660.760000000002</v>
      </c>
      <c r="G9" s="23">
        <v>0</v>
      </c>
      <c r="H9" s="24">
        <v>36476.34</v>
      </c>
      <c r="I9" s="24">
        <f>G9*G15/100</f>
        <v>0</v>
      </c>
      <c r="J9" s="128">
        <f>H9+I9</f>
        <v>36476.34</v>
      </c>
      <c r="K9" s="37">
        <v>36212.15</v>
      </c>
      <c r="L9" s="222">
        <f t="shared" si="15"/>
        <v>264.18999999999505</v>
      </c>
      <c r="M9" s="24">
        <v>38808</v>
      </c>
      <c r="N9" s="37">
        <v>38956.76</v>
      </c>
      <c r="O9" s="166">
        <f t="shared" si="1"/>
        <v>-148.76000000000204</v>
      </c>
      <c r="P9" s="24"/>
      <c r="Q9" s="24"/>
      <c r="R9" s="158">
        <f t="shared" si="16"/>
        <v>109508.15</v>
      </c>
      <c r="S9" s="158">
        <f t="shared" si="13"/>
        <v>81302</v>
      </c>
      <c r="T9" s="245">
        <v>27000</v>
      </c>
      <c r="U9" s="271">
        <v>27011.53</v>
      </c>
      <c r="V9" s="272">
        <f t="shared" si="14"/>
        <v>-11.529999999998836</v>
      </c>
      <c r="W9" s="245">
        <f>(R9+U9)/4</f>
        <v>34129.92</v>
      </c>
      <c r="X9" s="245">
        <f>W9*X15/100</f>
        <v>-7859.864670014733</v>
      </c>
      <c r="Y9" s="245">
        <v>27000</v>
      </c>
      <c r="Z9" s="276">
        <f>X9+Y9</f>
        <v>19140.135329985267</v>
      </c>
      <c r="AA9" s="271">
        <v>26872.77</v>
      </c>
      <c r="AB9" s="245">
        <f t="shared" si="2"/>
        <v>-7732.634670014733</v>
      </c>
      <c r="AC9" s="245">
        <f>27302.17+115.53</f>
        <v>27417.699999999997</v>
      </c>
      <c r="AD9" s="328">
        <v>27417.7</v>
      </c>
      <c r="AE9" s="330">
        <f t="shared" si="3"/>
        <v>0</v>
      </c>
      <c r="AF9" s="330"/>
      <c r="AG9" s="330">
        <f t="shared" si="4"/>
        <v>172580.07</v>
      </c>
      <c r="AH9" s="329">
        <f>37000-115.53</f>
        <v>36884.47</v>
      </c>
      <c r="AI9" s="329"/>
      <c r="AJ9" s="276">
        <f>AH9+AI9</f>
        <v>36884.47</v>
      </c>
      <c r="AK9" s="373">
        <v>36872.61</v>
      </c>
      <c r="AL9" s="389">
        <f t="shared" si="5"/>
        <v>11.860000000000582</v>
      </c>
      <c r="AM9" s="329"/>
      <c r="AN9" s="329"/>
      <c r="AO9" s="329">
        <v>37000</v>
      </c>
      <c r="AP9" s="359">
        <v>37000</v>
      </c>
      <c r="AQ9" s="393">
        <v>33489.91</v>
      </c>
      <c r="AR9" s="396">
        <f t="shared" si="7"/>
        <v>3510.0899999999965</v>
      </c>
      <c r="AS9" s="395"/>
      <c r="AT9" s="395"/>
      <c r="AU9" s="329">
        <v>21880</v>
      </c>
      <c r="AV9" s="330">
        <f>AT9+AU9+1019.82</f>
        <v>22899.82</v>
      </c>
      <c r="AW9" s="393">
        <v>23030.06</v>
      </c>
      <c r="AX9" s="335">
        <f t="shared" si="8"/>
        <v>-130.2400000000016</v>
      </c>
      <c r="AY9" s="393">
        <f t="shared" si="9"/>
        <v>93392.58</v>
      </c>
      <c r="AZ9" s="329">
        <f>37500-1019.82</f>
        <v>36480.18</v>
      </c>
      <c r="BA9" s="329">
        <v>37500</v>
      </c>
      <c r="BB9" s="329">
        <v>2835.42</v>
      </c>
      <c r="BC9" s="388">
        <f t="shared" si="10"/>
        <v>76815.59999999999</v>
      </c>
      <c r="BD9" s="121">
        <f t="shared" si="11"/>
        <v>361018.32999999996</v>
      </c>
      <c r="BE9" s="80">
        <f t="shared" si="12"/>
        <v>284202.73000000004</v>
      </c>
      <c r="BF9" s="200"/>
      <c r="BG9" s="77">
        <f>-AR9</f>
        <v>-3510.0899999999965</v>
      </c>
    </row>
    <row r="10" spans="1:59" s="5" customFormat="1" ht="26.25" customHeight="1" thickBot="1">
      <c r="A10" s="49">
        <v>6</v>
      </c>
      <c r="B10" s="87" t="s">
        <v>28</v>
      </c>
      <c r="C10" s="148">
        <v>719968.06</v>
      </c>
      <c r="D10" s="52">
        <v>85000</v>
      </c>
      <c r="E10" s="182">
        <v>80779.07</v>
      </c>
      <c r="F10" s="222">
        <f t="shared" si="0"/>
        <v>4220.929999999993</v>
      </c>
      <c r="G10" s="23">
        <v>0</v>
      </c>
      <c r="H10" s="52">
        <v>83442.32</v>
      </c>
      <c r="I10" s="52">
        <v>0</v>
      </c>
      <c r="J10" s="128">
        <f>H10+I10+42193.58</f>
        <v>125635.90000000001</v>
      </c>
      <c r="K10" s="51">
        <v>125957.99</v>
      </c>
      <c r="L10" s="164">
        <f t="shared" si="15"/>
        <v>-322.0899999999965</v>
      </c>
      <c r="M10" s="52">
        <f>89381.31-42193.58+6070.19</f>
        <v>53257.92</v>
      </c>
      <c r="N10" s="51">
        <v>53504.88</v>
      </c>
      <c r="O10" s="164">
        <f t="shared" si="1"/>
        <v>-246.95999999999913</v>
      </c>
      <c r="P10" s="23"/>
      <c r="Q10" s="23"/>
      <c r="R10" s="158">
        <f t="shared" si="16"/>
        <v>260241.94</v>
      </c>
      <c r="S10" s="158">
        <f t="shared" si="13"/>
        <v>238040.72</v>
      </c>
      <c r="T10" s="245">
        <f>82000-6070.19</f>
        <v>75929.81</v>
      </c>
      <c r="U10" s="271">
        <v>75378.18</v>
      </c>
      <c r="V10" s="245">
        <f t="shared" si="14"/>
        <v>551.6300000000047</v>
      </c>
      <c r="W10" s="245"/>
      <c r="X10" s="245"/>
      <c r="Y10" s="245">
        <v>82000</v>
      </c>
      <c r="Z10" s="276">
        <f>X10+Y10+5597.1</f>
        <v>87597.1</v>
      </c>
      <c r="AA10" s="271">
        <v>87597.1</v>
      </c>
      <c r="AB10" s="245">
        <f t="shared" si="2"/>
        <v>0</v>
      </c>
      <c r="AC10" s="245">
        <f>81697.3-5597.1</f>
        <v>76100.2</v>
      </c>
      <c r="AD10" s="328">
        <v>75065.44</v>
      </c>
      <c r="AE10" s="245">
        <f t="shared" si="3"/>
        <v>1034.7599999999948</v>
      </c>
      <c r="AF10" s="245"/>
      <c r="AG10" s="330">
        <f t="shared" si="4"/>
        <v>372208.08</v>
      </c>
      <c r="AH10" s="245">
        <v>87000</v>
      </c>
      <c r="AI10" s="245"/>
      <c r="AJ10" s="276">
        <f>AH10+AI10+1333.31</f>
        <v>88333.31</v>
      </c>
      <c r="AK10" s="373">
        <v>88799.72</v>
      </c>
      <c r="AL10" s="350">
        <f t="shared" si="5"/>
        <v>-466.4100000000035</v>
      </c>
      <c r="AM10" s="329">
        <f>(R10+S10+AK10)/7</f>
        <v>83868.91142857143</v>
      </c>
      <c r="AN10" s="329">
        <f>AM10*AN16/100</f>
        <v>602.6450893421232</v>
      </c>
      <c r="AO10" s="245">
        <f>87000-1333.31</f>
        <v>85666.69</v>
      </c>
      <c r="AP10" s="359">
        <f t="shared" si="6"/>
        <v>86269.33508934213</v>
      </c>
      <c r="AQ10" s="393">
        <v>77149.43</v>
      </c>
      <c r="AR10" s="396">
        <f t="shared" si="7"/>
        <v>9119.905089342137</v>
      </c>
      <c r="AS10" s="395"/>
      <c r="AT10" s="395"/>
      <c r="AU10" s="245">
        <v>60000</v>
      </c>
      <c r="AV10" s="330">
        <f>AT10+AU10+18874.39</f>
        <v>78874.39</v>
      </c>
      <c r="AW10" s="393">
        <v>79534.22</v>
      </c>
      <c r="AX10" s="335">
        <f t="shared" si="8"/>
        <v>-659.8300000000017</v>
      </c>
      <c r="AY10" s="393">
        <f t="shared" si="9"/>
        <v>245483.37</v>
      </c>
      <c r="AZ10" s="245">
        <f>87000-18874.39</f>
        <v>68125.61</v>
      </c>
      <c r="BA10" s="245">
        <v>69000</v>
      </c>
      <c r="BB10" s="245">
        <v>2415.78</v>
      </c>
      <c r="BC10" s="388">
        <f t="shared" si="10"/>
        <v>139541.38999999998</v>
      </c>
      <c r="BD10" s="121">
        <f t="shared" si="11"/>
        <v>883307.42</v>
      </c>
      <c r="BE10" s="80">
        <f t="shared" si="12"/>
        <v>743766.03</v>
      </c>
      <c r="BF10" s="200"/>
      <c r="BG10" s="77">
        <f>-AR10</f>
        <v>-9119.905089342137</v>
      </c>
    </row>
    <row r="11" spans="1:62" s="11" customFormat="1" ht="23.25" customHeight="1" thickBot="1">
      <c r="A11" s="95"/>
      <c r="B11" s="14" t="s">
        <v>2</v>
      </c>
      <c r="C11" s="42">
        <f>SUM(C5:C10)</f>
        <v>4147276.16</v>
      </c>
      <c r="D11" s="42">
        <f>SUM(D5:D10)</f>
        <v>411671.05</v>
      </c>
      <c r="E11" s="42">
        <f>SUM(E5:E10)</f>
        <v>487711.22000000003</v>
      </c>
      <c r="F11" s="42">
        <f>F5+F9+F10</f>
        <v>10242.419999999991</v>
      </c>
      <c r="G11" s="42">
        <f aca="true" t="shared" si="17" ref="G11:AY11">SUM(G5:G10)</f>
        <v>215759.72615384616</v>
      </c>
      <c r="H11" s="42">
        <f t="shared" si="17"/>
        <v>348328.95</v>
      </c>
      <c r="I11" s="42">
        <f t="shared" si="17"/>
        <v>10242.419999999991</v>
      </c>
      <c r="J11" s="42">
        <f t="shared" si="17"/>
        <v>408468.31999999995</v>
      </c>
      <c r="K11" s="42">
        <f t="shared" si="17"/>
        <v>482128.28</v>
      </c>
      <c r="L11" s="42">
        <f t="shared" si="17"/>
        <v>-73659.96000000002</v>
      </c>
      <c r="M11" s="42">
        <f t="shared" si="17"/>
        <v>372437.06</v>
      </c>
      <c r="N11" s="42">
        <f t="shared" si="17"/>
        <v>458418.74</v>
      </c>
      <c r="O11" s="42">
        <f t="shared" si="17"/>
        <v>-85981.68</v>
      </c>
      <c r="P11" s="42">
        <f t="shared" si="17"/>
        <v>0</v>
      </c>
      <c r="Q11" s="42">
        <f t="shared" si="17"/>
        <v>0</v>
      </c>
      <c r="R11" s="42">
        <f t="shared" si="17"/>
        <v>1428258.2399999998</v>
      </c>
      <c r="S11" s="42">
        <f t="shared" si="17"/>
        <v>1400595.43</v>
      </c>
      <c r="T11" s="42">
        <f t="shared" si="17"/>
        <v>373650.08</v>
      </c>
      <c r="U11" s="42">
        <f t="shared" si="17"/>
        <v>444896.31</v>
      </c>
      <c r="V11" s="42">
        <f t="shared" si="17"/>
        <v>-71246.22999999998</v>
      </c>
      <c r="W11" s="42">
        <f t="shared" si="17"/>
        <v>308225.57999999996</v>
      </c>
      <c r="X11" s="42">
        <f t="shared" si="17"/>
        <v>-70982.04</v>
      </c>
      <c r="Y11" s="42">
        <f t="shared" si="17"/>
        <v>356015.91000000003</v>
      </c>
      <c r="Z11" s="42">
        <f t="shared" si="17"/>
        <v>329619.05999999994</v>
      </c>
      <c r="AA11" s="42">
        <f t="shared" si="17"/>
        <v>500433.22</v>
      </c>
      <c r="AB11" s="42">
        <f t="shared" si="17"/>
        <v>-170814.15999999997</v>
      </c>
      <c r="AC11" s="42">
        <f t="shared" si="17"/>
        <v>373884.14</v>
      </c>
      <c r="AD11" s="42">
        <f t="shared" si="17"/>
        <v>455265.9</v>
      </c>
      <c r="AE11" s="42">
        <f t="shared" si="17"/>
        <v>-81381.76</v>
      </c>
      <c r="AF11" s="42">
        <f t="shared" si="17"/>
        <v>280964.8983333333</v>
      </c>
      <c r="AG11" s="42">
        <f t="shared" si="17"/>
        <v>1706928.32</v>
      </c>
      <c r="AH11" s="42">
        <f t="shared" si="17"/>
        <v>360530.67000000004</v>
      </c>
      <c r="AI11" s="42">
        <f t="shared" si="17"/>
        <v>-169765.23</v>
      </c>
      <c r="AJ11" s="42">
        <f t="shared" si="17"/>
        <v>212587.16999999998</v>
      </c>
      <c r="AK11" s="42">
        <f t="shared" si="17"/>
        <v>462001.64</v>
      </c>
      <c r="AL11" s="42">
        <f t="shared" si="17"/>
        <v>-249414.47</v>
      </c>
      <c r="AM11" s="42">
        <f t="shared" si="17"/>
        <v>362399.03714285715</v>
      </c>
      <c r="AN11" s="42">
        <f t="shared" si="17"/>
        <v>2604.039999999993</v>
      </c>
      <c r="AO11" s="42">
        <f t="shared" si="17"/>
        <v>389178.26999999996</v>
      </c>
      <c r="AP11" s="42">
        <f t="shared" si="17"/>
        <v>400018.05</v>
      </c>
      <c r="AQ11" s="42">
        <f t="shared" si="17"/>
        <v>460052.10000000003</v>
      </c>
      <c r="AR11" s="42">
        <f t="shared" si="17"/>
        <v>-60034.05</v>
      </c>
      <c r="AS11" s="42">
        <f t="shared" si="17"/>
        <v>235169.67</v>
      </c>
      <c r="AT11" s="42">
        <f t="shared" si="17"/>
        <v>23755.885089342133</v>
      </c>
      <c r="AU11" s="42">
        <f t="shared" si="17"/>
        <v>293644.26</v>
      </c>
      <c r="AV11" s="42">
        <f t="shared" si="17"/>
        <v>363445.02508934215</v>
      </c>
      <c r="AW11" s="42">
        <f t="shared" si="17"/>
        <v>454526.86</v>
      </c>
      <c r="AX11" s="42">
        <f t="shared" si="17"/>
        <v>-91081.83491065788</v>
      </c>
      <c r="AY11" s="42">
        <f t="shared" si="17"/>
        <v>1376580.6</v>
      </c>
      <c r="AZ11" s="42">
        <f>AZ5+AZ6+AZ7+AZ8+AZ9+AZ10</f>
        <v>365455.12</v>
      </c>
      <c r="BA11" s="42">
        <f>BA5+BA6+BA7+BA8+BA9+BA10</f>
        <v>283500</v>
      </c>
      <c r="BB11" s="42">
        <f>BB5+BB6+BB7+BB8+BB9+BB10</f>
        <v>14620</v>
      </c>
      <c r="BC11" s="42">
        <f>BC5+BC6+BC7+BC8+BC9+BC10</f>
        <v>663575.12</v>
      </c>
      <c r="BD11" s="42">
        <f>SUM(BD5:BD10)</f>
        <v>4869009.39</v>
      </c>
      <c r="BE11" s="42">
        <f>SUM(BE5:BE10)</f>
        <v>4205434.27</v>
      </c>
      <c r="BF11" s="42">
        <f>SUM(BF5:BF10)</f>
        <v>0</v>
      </c>
      <c r="BG11" s="42">
        <f>SUM(BG5:BG10)</f>
        <v>0</v>
      </c>
      <c r="BJ11" s="11" t="s">
        <v>117</v>
      </c>
    </row>
    <row r="12" spans="1:59" s="6" customFormat="1" ht="29.25" customHeight="1" thickBot="1">
      <c r="A12" s="93">
        <v>7</v>
      </c>
      <c r="B12" s="88" t="s">
        <v>13</v>
      </c>
      <c r="C12" s="149">
        <v>184140</v>
      </c>
      <c r="D12" s="50">
        <v>10000</v>
      </c>
      <c r="E12" s="182">
        <v>14000</v>
      </c>
      <c r="F12" s="446">
        <f>D12-E12</f>
        <v>-4000</v>
      </c>
      <c r="G12" s="52">
        <v>0</v>
      </c>
      <c r="H12" s="50">
        <v>10000</v>
      </c>
      <c r="I12" s="50">
        <v>0</v>
      </c>
      <c r="J12" s="447">
        <f>H12+I12</f>
        <v>10000</v>
      </c>
      <c r="K12" s="51">
        <v>14760</v>
      </c>
      <c r="L12" s="448">
        <f t="shared" si="15"/>
        <v>-4760</v>
      </c>
      <c r="M12" s="50">
        <v>10000</v>
      </c>
      <c r="N12" s="51">
        <v>19080</v>
      </c>
      <c r="O12" s="449">
        <f>M12-N12</f>
        <v>-9080</v>
      </c>
      <c r="P12" s="52">
        <v>0</v>
      </c>
      <c r="Q12" s="52">
        <v>0</v>
      </c>
      <c r="R12" s="450">
        <f t="shared" si="16"/>
        <v>47840</v>
      </c>
      <c r="S12" s="450">
        <f t="shared" si="13"/>
        <v>48760</v>
      </c>
      <c r="T12" s="451">
        <v>10000</v>
      </c>
      <c r="U12" s="452">
        <v>14920</v>
      </c>
      <c r="V12" s="453">
        <f t="shared" si="14"/>
        <v>-4920</v>
      </c>
      <c r="W12" s="451"/>
      <c r="X12" s="451"/>
      <c r="Y12" s="451">
        <v>10000</v>
      </c>
      <c r="Z12" s="454">
        <f>X12+Y12</f>
        <v>10000</v>
      </c>
      <c r="AA12" s="452">
        <v>20760</v>
      </c>
      <c r="AB12" s="455">
        <f>Z12-AA12</f>
        <v>-10760</v>
      </c>
      <c r="AC12" s="451">
        <v>10000</v>
      </c>
      <c r="AD12" s="456">
        <v>13080</v>
      </c>
      <c r="AE12" s="457">
        <f>AC12-AD12</f>
        <v>-3080</v>
      </c>
      <c r="AF12" s="458"/>
      <c r="AG12" s="459">
        <f>AH12+AO12+AU12+AZ12+BA12+BB12</f>
        <v>50000</v>
      </c>
      <c r="AH12" s="459">
        <v>11000</v>
      </c>
      <c r="AI12" s="459"/>
      <c r="AJ12" s="454">
        <f>AH12+AI12</f>
        <v>11000</v>
      </c>
      <c r="AK12" s="460">
        <v>14254.8</v>
      </c>
      <c r="AL12" s="461">
        <f>AJ12-AK12</f>
        <v>-3254.7999999999993</v>
      </c>
      <c r="AM12" s="459"/>
      <c r="AN12" s="459"/>
      <c r="AO12" s="459">
        <v>11000</v>
      </c>
      <c r="AP12" s="462">
        <f>AN12+AO12</f>
        <v>11000</v>
      </c>
      <c r="AQ12" s="463">
        <v>15771.2</v>
      </c>
      <c r="AR12" s="457">
        <f>AP12-AQ12</f>
        <v>-4771.200000000001</v>
      </c>
      <c r="AS12" s="464"/>
      <c r="AT12" s="464"/>
      <c r="AU12" s="459">
        <v>11000</v>
      </c>
      <c r="AV12" s="451">
        <f>AT12+AU12</f>
        <v>11000</v>
      </c>
      <c r="AW12" s="460">
        <v>20501.8</v>
      </c>
      <c r="AX12" s="461">
        <f>AV12-AW12</f>
        <v>-9501.8</v>
      </c>
      <c r="AY12" s="463">
        <f>AK12+AQ12+AW12</f>
        <v>50527.8</v>
      </c>
      <c r="AZ12" s="459">
        <v>11000</v>
      </c>
      <c r="BA12" s="459">
        <v>5500</v>
      </c>
      <c r="BB12" s="459">
        <v>500</v>
      </c>
      <c r="BC12" s="465">
        <f>AZ12+BA12+BB12</f>
        <v>17000</v>
      </c>
      <c r="BD12" s="466">
        <f>R12+S12+AY12+BC12</f>
        <v>164127.8</v>
      </c>
      <c r="BE12" s="467">
        <f>R12+S12+AK12+AQ12</f>
        <v>126626</v>
      </c>
      <c r="BF12" s="200">
        <v>0</v>
      </c>
      <c r="BG12" s="77"/>
    </row>
    <row r="13" spans="1:59" s="7" customFormat="1" ht="21" customHeight="1" thickBot="1">
      <c r="A13" s="116"/>
      <c r="B13" s="53" t="s">
        <v>3</v>
      </c>
      <c r="C13" s="48">
        <f>C12</f>
        <v>184140</v>
      </c>
      <c r="D13" s="48">
        <f>D12</f>
        <v>10000</v>
      </c>
      <c r="E13" s="48">
        <f>E12</f>
        <v>14000</v>
      </c>
      <c r="F13" s="48">
        <v>0</v>
      </c>
      <c r="G13" s="48">
        <f aca="true" t="shared" si="18" ref="G13:U13">G12</f>
        <v>0</v>
      </c>
      <c r="H13" s="48">
        <f t="shared" si="18"/>
        <v>10000</v>
      </c>
      <c r="I13" s="48">
        <f t="shared" si="18"/>
        <v>0</v>
      </c>
      <c r="J13" s="48">
        <f t="shared" si="18"/>
        <v>10000</v>
      </c>
      <c r="K13" s="48">
        <f t="shared" si="18"/>
        <v>14760</v>
      </c>
      <c r="L13" s="48">
        <f t="shared" si="18"/>
        <v>-4760</v>
      </c>
      <c r="M13" s="48">
        <f t="shared" si="18"/>
        <v>10000</v>
      </c>
      <c r="N13" s="48">
        <f t="shared" si="18"/>
        <v>19080</v>
      </c>
      <c r="O13" s="48">
        <f t="shared" si="18"/>
        <v>-9080</v>
      </c>
      <c r="P13" s="48">
        <f t="shared" si="18"/>
        <v>0</v>
      </c>
      <c r="Q13" s="48">
        <f t="shared" si="18"/>
        <v>0</v>
      </c>
      <c r="R13" s="48">
        <f t="shared" si="18"/>
        <v>47840</v>
      </c>
      <c r="S13" s="48">
        <f t="shared" si="18"/>
        <v>48760</v>
      </c>
      <c r="T13" s="48">
        <f t="shared" si="18"/>
        <v>10000</v>
      </c>
      <c r="U13" s="48">
        <f t="shared" si="18"/>
        <v>14920</v>
      </c>
      <c r="V13" s="48"/>
      <c r="W13" s="48"/>
      <c r="X13" s="48"/>
      <c r="Y13" s="48">
        <f>Y12</f>
        <v>10000</v>
      </c>
      <c r="Z13" s="48">
        <f>Z12</f>
        <v>10000</v>
      </c>
      <c r="AA13" s="48">
        <f>AA12</f>
        <v>20760</v>
      </c>
      <c r="AB13" s="48"/>
      <c r="AC13" s="48">
        <f>AC12</f>
        <v>10000</v>
      </c>
      <c r="AD13" s="48">
        <v>13080</v>
      </c>
      <c r="AE13" s="334"/>
      <c r="AF13" s="488"/>
      <c r="AG13" s="489">
        <v>50000</v>
      </c>
      <c r="AH13" s="48">
        <v>11000</v>
      </c>
      <c r="AI13" s="48">
        <v>11000</v>
      </c>
      <c r="AJ13" s="48">
        <v>11000</v>
      </c>
      <c r="AK13" s="48">
        <f>AK12</f>
        <v>14254.8</v>
      </c>
      <c r="AL13" s="48">
        <v>0</v>
      </c>
      <c r="AM13" s="48">
        <v>11003</v>
      </c>
      <c r="AN13" s="48"/>
      <c r="AO13" s="48">
        <v>11000</v>
      </c>
      <c r="AP13" s="48">
        <v>11000</v>
      </c>
      <c r="AQ13" s="48">
        <f>AQ12</f>
        <v>15771.2</v>
      </c>
      <c r="AR13" s="48">
        <v>0</v>
      </c>
      <c r="AS13" s="334"/>
      <c r="AT13" s="334"/>
      <c r="AU13" s="48">
        <v>11000</v>
      </c>
      <c r="AV13" s="48">
        <v>11000</v>
      </c>
      <c r="AW13" s="48">
        <v>20501.8</v>
      </c>
      <c r="AX13" s="48"/>
      <c r="AY13" s="48">
        <f>AY12</f>
        <v>50527.8</v>
      </c>
      <c r="AZ13" s="48">
        <v>11000</v>
      </c>
      <c r="BA13" s="48">
        <v>5500</v>
      </c>
      <c r="BB13" s="48">
        <v>500</v>
      </c>
      <c r="BC13" s="48">
        <v>501</v>
      </c>
      <c r="BD13" s="48">
        <f>BD12</f>
        <v>164127.8</v>
      </c>
      <c r="BE13" s="48">
        <f>BE12</f>
        <v>126626</v>
      </c>
      <c r="BF13" s="48">
        <f>BF12</f>
        <v>0</v>
      </c>
      <c r="BG13" s="77"/>
    </row>
    <row r="14" spans="1:59" s="144" customFormat="1" ht="28.5" customHeight="1" thickBot="1">
      <c r="A14" s="142"/>
      <c r="B14" s="143" t="s">
        <v>4</v>
      </c>
      <c r="C14" s="41">
        <f aca="true" t="shared" si="19" ref="C14:V14">C11+C13</f>
        <v>4331416.16</v>
      </c>
      <c r="D14" s="41">
        <f t="shared" si="19"/>
        <v>421671.05</v>
      </c>
      <c r="E14" s="41">
        <f t="shared" si="19"/>
        <v>501711.22000000003</v>
      </c>
      <c r="F14" s="225">
        <f t="shared" si="19"/>
        <v>10242.419999999991</v>
      </c>
      <c r="G14" s="41">
        <f t="shared" si="19"/>
        <v>215759.72615384616</v>
      </c>
      <c r="H14" s="41">
        <f t="shared" si="19"/>
        <v>358328.95</v>
      </c>
      <c r="I14" s="225">
        <f t="shared" si="19"/>
        <v>10242.419999999991</v>
      </c>
      <c r="J14" s="41">
        <f t="shared" si="19"/>
        <v>418468.31999999995</v>
      </c>
      <c r="K14" s="41">
        <f t="shared" si="19"/>
        <v>496888.28</v>
      </c>
      <c r="L14" s="41">
        <f t="shared" si="19"/>
        <v>-78419.96000000002</v>
      </c>
      <c r="M14" s="41">
        <f t="shared" si="19"/>
        <v>382437.06</v>
      </c>
      <c r="N14" s="41">
        <f t="shared" si="19"/>
        <v>477498.74</v>
      </c>
      <c r="O14" s="41">
        <f t="shared" si="19"/>
        <v>-95061.68</v>
      </c>
      <c r="P14" s="41">
        <f t="shared" si="19"/>
        <v>0</v>
      </c>
      <c r="Q14" s="41">
        <f t="shared" si="19"/>
        <v>0</v>
      </c>
      <c r="R14" s="41">
        <f t="shared" si="19"/>
        <v>1476098.2399999998</v>
      </c>
      <c r="S14" s="41">
        <f t="shared" si="19"/>
        <v>1449355.43</v>
      </c>
      <c r="T14" s="41">
        <f t="shared" si="19"/>
        <v>383650.08</v>
      </c>
      <c r="U14" s="41">
        <f t="shared" si="19"/>
        <v>459816.31</v>
      </c>
      <c r="V14" s="274">
        <f t="shared" si="19"/>
        <v>-71246.22999999998</v>
      </c>
      <c r="W14" s="41"/>
      <c r="X14" s="41"/>
      <c r="Y14" s="41">
        <f>Y11+Y13</f>
        <v>366015.91000000003</v>
      </c>
      <c r="Z14" s="41">
        <f>Z11+Z13</f>
        <v>339619.05999999994</v>
      </c>
      <c r="AA14" s="41">
        <f>AA11+AA13</f>
        <v>521193.22</v>
      </c>
      <c r="AB14" s="296">
        <f>AB11+AB13</f>
        <v>-170814.15999999997</v>
      </c>
      <c r="AC14" s="41">
        <f>AC11+AC13</f>
        <v>383884.14</v>
      </c>
      <c r="AD14" s="41">
        <f>AD11+AD12</f>
        <v>468345.9</v>
      </c>
      <c r="AE14" s="274">
        <f>AE5+AE10</f>
        <v>1048.9300000000003</v>
      </c>
      <c r="AF14" s="345"/>
      <c r="AG14" s="41">
        <f aca="true" t="shared" si="20" ref="AG14:BF14">AG11+AG13</f>
        <v>1756928.32</v>
      </c>
      <c r="AH14" s="41">
        <f t="shared" si="20"/>
        <v>371530.67000000004</v>
      </c>
      <c r="AI14" s="41">
        <f t="shared" si="20"/>
        <v>-158765.23</v>
      </c>
      <c r="AJ14" s="41">
        <f>AJ11+AJ13</f>
        <v>223587.16999999998</v>
      </c>
      <c r="AK14" s="41">
        <f>AK11+AK13</f>
        <v>476256.44</v>
      </c>
      <c r="AL14" s="390">
        <f>AL11+AL13</f>
        <v>-249414.47</v>
      </c>
      <c r="AM14" s="41">
        <f>AM11+AM13</f>
        <v>373402.03714285715</v>
      </c>
      <c r="AN14" s="390">
        <f>AN11+AN13</f>
        <v>2604.039999999993</v>
      </c>
      <c r="AO14" s="41">
        <f t="shared" si="20"/>
        <v>400178.26999999996</v>
      </c>
      <c r="AP14" s="41">
        <f t="shared" si="20"/>
        <v>411018.05</v>
      </c>
      <c r="AQ14" s="41">
        <f t="shared" si="20"/>
        <v>475823.30000000005</v>
      </c>
      <c r="AR14" s="390">
        <f>AR11+AR13</f>
        <v>-60034.05</v>
      </c>
      <c r="AS14" s="398"/>
      <c r="AT14" s="390">
        <f>AT11+AT13</f>
        <v>23755.885089342133</v>
      </c>
      <c r="AU14" s="41">
        <f t="shared" si="20"/>
        <v>304644.26</v>
      </c>
      <c r="AV14" s="41">
        <f t="shared" si="20"/>
        <v>374445.02508934215</v>
      </c>
      <c r="AW14" s="41">
        <f t="shared" si="20"/>
        <v>475028.66</v>
      </c>
      <c r="AX14" s="41"/>
      <c r="AY14" s="358">
        <f t="shared" si="20"/>
        <v>1427108.4000000001</v>
      </c>
      <c r="AZ14" s="358">
        <f t="shared" si="20"/>
        <v>376455.12</v>
      </c>
      <c r="BA14" s="358">
        <f t="shared" si="20"/>
        <v>289000</v>
      </c>
      <c r="BB14" s="358">
        <f t="shared" si="20"/>
        <v>15120</v>
      </c>
      <c r="BC14" s="358">
        <f t="shared" si="20"/>
        <v>664076.12</v>
      </c>
      <c r="BD14" s="358">
        <f t="shared" si="20"/>
        <v>5033137.1899999995</v>
      </c>
      <c r="BE14" s="41">
        <f t="shared" si="20"/>
        <v>4332060.27</v>
      </c>
      <c r="BF14" s="48">
        <f t="shared" si="20"/>
        <v>0</v>
      </c>
      <c r="BG14" s="265">
        <f>SUM(BG5:BG13)</f>
        <v>-1.8189894035458565E-12</v>
      </c>
    </row>
    <row r="15" spans="1:59" s="40" customFormat="1" ht="25.5" customHeight="1" hidden="1" thickBot="1">
      <c r="A15" s="29"/>
      <c r="B15" s="38"/>
      <c r="C15" s="468" t="s">
        <v>42</v>
      </c>
      <c r="D15" s="468" t="s">
        <v>42</v>
      </c>
      <c r="E15" s="469">
        <f>-(F6+F7+F8+F12)</f>
        <v>90282.59</v>
      </c>
      <c r="F15" s="160" t="s">
        <v>57</v>
      </c>
      <c r="G15" s="470">
        <f>F14*100/G14</f>
        <v>4.747141731491027</v>
      </c>
      <c r="H15" s="31"/>
      <c r="I15" s="31"/>
      <c r="J15" s="471" t="s">
        <v>42</v>
      </c>
      <c r="K15" s="472"/>
      <c r="L15" s="473">
        <f>-(L5+L6+L7+L8+L10+L12)-101.79</f>
        <v>78582.36000000003</v>
      </c>
      <c r="M15" s="474"/>
      <c r="N15" s="475" t="s">
        <v>42</v>
      </c>
      <c r="O15" s="476"/>
      <c r="P15" s="477">
        <f>-(O5+O6+O7+O8+O9+O10+O12)</f>
        <v>95061.68</v>
      </c>
      <c r="Q15" s="478"/>
      <c r="R15" s="479"/>
      <c r="S15" s="233"/>
      <c r="T15" s="238"/>
      <c r="U15" s="475" t="s">
        <v>42</v>
      </c>
      <c r="V15" s="476"/>
      <c r="W15" s="480" t="s">
        <v>77</v>
      </c>
      <c r="X15" s="481">
        <f>W16*100/W11</f>
        <v>-23.029250200453834</v>
      </c>
      <c r="Y15" s="238"/>
      <c r="Z15" s="238"/>
      <c r="AA15" s="475" t="s">
        <v>42</v>
      </c>
      <c r="AB15" s="476"/>
      <c r="AC15" s="475" t="s">
        <v>42</v>
      </c>
      <c r="AD15" s="476"/>
      <c r="AE15" s="238"/>
      <c r="AF15" s="238"/>
      <c r="AG15" s="238"/>
      <c r="AH15" s="238"/>
      <c r="AI15" s="238"/>
      <c r="AJ15" s="238"/>
      <c r="AK15" s="482" t="s">
        <v>44</v>
      </c>
      <c r="AL15" s="351">
        <f>-(AL6+AL7+AL8+AL10+AL12)</f>
        <v>255273.31</v>
      </c>
      <c r="AM15" s="351"/>
      <c r="AN15" s="351"/>
      <c r="AO15" s="238"/>
      <c r="AP15" s="238"/>
      <c r="AQ15" s="238"/>
      <c r="AR15" s="482" t="s">
        <v>44</v>
      </c>
      <c r="AS15" s="351">
        <f>-(AR6+AR7+AR8+AR12)</f>
        <v>88561.13508934213</v>
      </c>
      <c r="AT15" s="397"/>
      <c r="AU15" s="483"/>
      <c r="AV15" s="483"/>
      <c r="AW15" s="483"/>
      <c r="AX15" s="482" t="s">
        <v>44</v>
      </c>
      <c r="AY15" s="484">
        <f>-(AX5+AX6+AX7+AX8+AX9+AX10+AX12)</f>
        <v>100583.63491065789</v>
      </c>
      <c r="AZ15" s="485"/>
      <c r="BA15" s="486"/>
      <c r="BB15" s="486"/>
      <c r="BC15" s="486"/>
      <c r="BD15" s="487"/>
      <c r="BE15" s="430"/>
      <c r="BF15" s="431"/>
      <c r="BG15" s="77">
        <f aca="true" t="shared" si="21" ref="BG15:BG22">-AO15</f>
        <v>0</v>
      </c>
    </row>
    <row r="16" spans="1:59" s="40" customFormat="1" ht="25.5" customHeight="1" thickBot="1">
      <c r="A16" s="29"/>
      <c r="B16" s="38"/>
      <c r="C16" s="226"/>
      <c r="D16" s="126"/>
      <c r="E16" s="227"/>
      <c r="F16" s="203"/>
      <c r="G16" s="228"/>
      <c r="H16" s="31"/>
      <c r="I16" s="31"/>
      <c r="J16" s="231" t="s">
        <v>58</v>
      </c>
      <c r="K16" s="435">
        <f>L9</f>
        <v>264.18999999999505</v>
      </c>
      <c r="L16" s="439"/>
      <c r="M16" s="439"/>
      <c r="N16" s="439"/>
      <c r="O16" s="439"/>
      <c r="P16" s="439"/>
      <c r="Q16" s="439"/>
      <c r="R16" s="439"/>
      <c r="S16" s="234"/>
      <c r="T16" s="239"/>
      <c r="U16" s="239"/>
      <c r="V16" s="273">
        <f>-(V6+V7+V8+V9+V12)</f>
        <v>76821.29999999997</v>
      </c>
      <c r="W16" s="293">
        <f>K16+V14</f>
        <v>-70982.03999999998</v>
      </c>
      <c r="X16" s="239"/>
      <c r="Y16" s="239"/>
      <c r="Z16" s="239"/>
      <c r="AA16" s="239"/>
      <c r="AB16" s="273">
        <f>-(AB5+AB6+AB7+AB8+AB12)</f>
        <v>173841.52532998525</v>
      </c>
      <c r="AD16" s="239"/>
      <c r="AE16" s="273">
        <f>-(AE6+AE7+AE8+AE12)</f>
        <v>85510.69</v>
      </c>
      <c r="AF16" s="239"/>
      <c r="AG16" s="239"/>
      <c r="AH16" s="239"/>
      <c r="AI16" s="239"/>
      <c r="AJ16" s="239"/>
      <c r="AK16" s="440" t="s">
        <v>110</v>
      </c>
      <c r="AL16" s="441">
        <f>AL5+AL9</f>
        <v>2604.0399999999936</v>
      </c>
      <c r="AM16" s="442" t="s">
        <v>99</v>
      </c>
      <c r="AN16" s="357">
        <f>AL16*100/AM11</f>
        <v>0.7185559930098503</v>
      </c>
      <c r="AO16" s="443"/>
      <c r="AP16" s="443"/>
      <c r="AQ16" s="440" t="s">
        <v>121</v>
      </c>
      <c r="AR16" s="441">
        <f>AR5+AR9+AR10</f>
        <v>23755.885089342133</v>
      </c>
      <c r="AS16" s="444" t="s">
        <v>125</v>
      </c>
      <c r="AT16" s="357">
        <f>AR16*100/AS11</f>
        <v>10.10159392124934</v>
      </c>
      <c r="AU16" s="445"/>
      <c r="AZ16" s="239"/>
      <c r="BA16" s="239"/>
      <c r="BE16" s="229"/>
      <c r="BG16" s="77">
        <f t="shared" si="21"/>
        <v>0</v>
      </c>
    </row>
    <row r="17" spans="1:106" s="40" customFormat="1" ht="18" customHeight="1" thickBot="1">
      <c r="A17" s="29"/>
      <c r="B17" s="38"/>
      <c r="C17" s="60"/>
      <c r="D17" s="31"/>
      <c r="E17" s="39"/>
      <c r="F17" s="31"/>
      <c r="G17" s="31"/>
      <c r="H17" s="31"/>
      <c r="I17" s="31"/>
      <c r="J17" s="422"/>
      <c r="K17" s="422"/>
      <c r="L17" s="31"/>
      <c r="M17" s="31"/>
      <c r="N17" s="206"/>
      <c r="O17" s="31"/>
      <c r="P17" s="423"/>
      <c r="Q17" s="423"/>
      <c r="R17" s="291"/>
      <c r="AC17" s="436" t="s">
        <v>96</v>
      </c>
      <c r="AD17" s="437">
        <f>AB14+AE14</f>
        <v>-169765.22999999998</v>
      </c>
      <c r="AE17" s="438" t="s">
        <v>102</v>
      </c>
      <c r="AF17" s="353">
        <f>AD17*100/AF11</f>
        <v>-60.42222035814332</v>
      </c>
      <c r="AG17" s="354" t="s">
        <v>84</v>
      </c>
      <c r="AH17" s="355"/>
      <c r="AI17" s="356">
        <f>AB14</f>
        <v>-170814.15999999997</v>
      </c>
      <c r="AP17" s="360"/>
      <c r="AQ17" s="360"/>
      <c r="AR17" s="360"/>
      <c r="AS17" s="360"/>
      <c r="AT17" s="360"/>
      <c r="BD17" s="184"/>
      <c r="BE17" s="184"/>
      <c r="BF17" s="184"/>
      <c r="BG17" s="77">
        <f t="shared" si="21"/>
        <v>0</v>
      </c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</row>
    <row r="18" spans="2:59" s="28" customFormat="1" ht="42.75" customHeight="1" thickBot="1">
      <c r="B18" s="490" t="s">
        <v>14</v>
      </c>
      <c r="C18" s="150"/>
      <c r="D18" s="18" t="s">
        <v>46</v>
      </c>
      <c r="E18" s="35" t="s">
        <v>16</v>
      </c>
      <c r="F18" s="66" t="s">
        <v>47</v>
      </c>
      <c r="G18" s="117" t="s">
        <v>30</v>
      </c>
      <c r="H18" s="18" t="s">
        <v>41</v>
      </c>
      <c r="I18" s="118" t="s">
        <v>49</v>
      </c>
      <c r="J18" s="120" t="s">
        <v>48</v>
      </c>
      <c r="K18" s="35" t="s">
        <v>17</v>
      </c>
      <c r="L18" s="66" t="s">
        <v>71</v>
      </c>
      <c r="M18" s="19" t="s">
        <v>50</v>
      </c>
      <c r="N18" s="35" t="s">
        <v>29</v>
      </c>
      <c r="O18" s="66" t="s">
        <v>64</v>
      </c>
      <c r="P18" s="117" t="s">
        <v>38</v>
      </c>
      <c r="Q18" s="117" t="s">
        <v>51</v>
      </c>
      <c r="R18" s="157" t="s">
        <v>65</v>
      </c>
      <c r="S18" s="157" t="s">
        <v>97</v>
      </c>
      <c r="T18" s="244" t="s">
        <v>60</v>
      </c>
      <c r="U18" s="270" t="s">
        <v>73</v>
      </c>
      <c r="V18" s="66" t="s">
        <v>74</v>
      </c>
      <c r="W18" s="117" t="s">
        <v>75</v>
      </c>
      <c r="X18" s="117" t="s">
        <v>76</v>
      </c>
      <c r="Y18" s="244" t="s">
        <v>61</v>
      </c>
      <c r="Z18" s="275" t="s">
        <v>78</v>
      </c>
      <c r="AA18" s="270" t="s">
        <v>81</v>
      </c>
      <c r="AB18" s="66" t="s">
        <v>82</v>
      </c>
      <c r="AC18" s="244" t="s">
        <v>62</v>
      </c>
      <c r="AD18" s="270" t="s">
        <v>86</v>
      </c>
      <c r="AE18" s="66" t="s">
        <v>87</v>
      </c>
      <c r="AF18" s="117" t="s">
        <v>98</v>
      </c>
      <c r="AG18" s="66" t="s">
        <v>88</v>
      </c>
      <c r="AH18" s="331" t="s">
        <v>89</v>
      </c>
      <c r="AI18" s="331" t="s">
        <v>100</v>
      </c>
      <c r="AJ18" s="346" t="s">
        <v>101</v>
      </c>
      <c r="AK18" s="371" t="s">
        <v>106</v>
      </c>
      <c r="AL18" s="66" t="s">
        <v>105</v>
      </c>
      <c r="AM18" s="117" t="s">
        <v>107</v>
      </c>
      <c r="AN18" s="117" t="s">
        <v>108</v>
      </c>
      <c r="AO18" s="331" t="s">
        <v>90</v>
      </c>
      <c r="AP18" s="331" t="s">
        <v>109</v>
      </c>
      <c r="AQ18" s="371" t="s">
        <v>116</v>
      </c>
      <c r="AR18" s="66" t="s">
        <v>118</v>
      </c>
      <c r="AS18" s="117" t="s">
        <v>120</v>
      </c>
      <c r="AT18" s="117" t="s">
        <v>122</v>
      </c>
      <c r="AU18" s="331" t="s">
        <v>91</v>
      </c>
      <c r="AV18" s="346" t="s">
        <v>123</v>
      </c>
      <c r="AW18" s="371" t="s">
        <v>132</v>
      </c>
      <c r="AX18" s="402"/>
      <c r="AY18" s="157" t="s">
        <v>111</v>
      </c>
      <c r="AZ18" s="331" t="s">
        <v>92</v>
      </c>
      <c r="BA18" s="331" t="s">
        <v>93</v>
      </c>
      <c r="BB18" s="331" t="s">
        <v>94</v>
      </c>
      <c r="BC18" s="367" t="s">
        <v>104</v>
      </c>
      <c r="BD18" s="492" t="s">
        <v>52</v>
      </c>
      <c r="BE18" s="493" t="s">
        <v>134</v>
      </c>
      <c r="BF18" s="85" t="s">
        <v>83</v>
      </c>
      <c r="BG18" s="299" t="s">
        <v>119</v>
      </c>
    </row>
    <row r="19" spans="2:59" s="28" customFormat="1" ht="28.5" customHeight="1" thickBot="1">
      <c r="B19" s="491"/>
      <c r="C19" s="151"/>
      <c r="D19" s="55" t="e">
        <f>D14+#REF!</f>
        <v>#REF!</v>
      </c>
      <c r="E19" s="56" t="e">
        <f>E14+#REF!</f>
        <v>#REF!</v>
      </c>
      <c r="F19" s="64" t="e">
        <f>F14+#REF!</f>
        <v>#REF!</v>
      </c>
      <c r="G19" s="124"/>
      <c r="H19" s="75" t="e">
        <f>H14+#REF!</f>
        <v>#REF!</v>
      </c>
      <c r="I19" s="73" t="e">
        <f>I14+#REF!</f>
        <v>#REF!</v>
      </c>
      <c r="J19" s="210" t="e">
        <f>J14+#REF!</f>
        <v>#REF!</v>
      </c>
      <c r="K19" s="211" t="e">
        <f>K14+#REF!</f>
        <v>#REF!</v>
      </c>
      <c r="L19" s="212" t="e">
        <f>K16+#REF!</f>
        <v>#REF!</v>
      </c>
      <c r="M19" s="213" t="e">
        <f>M14+#REF!</f>
        <v>#REF!</v>
      </c>
      <c r="N19" s="214" t="e">
        <f>N14+#REF!</f>
        <v>#REF!</v>
      </c>
      <c r="O19" s="73" t="e">
        <f>#REF!</f>
        <v>#REF!</v>
      </c>
      <c r="P19" s="215"/>
      <c r="Q19" s="73" t="e">
        <f>Q14+#REF!</f>
        <v>#REF!</v>
      </c>
      <c r="R19" s="216">
        <f>R14+'dupa SEPT-R '!R24</f>
        <v>2873210.2399999998</v>
      </c>
      <c r="S19" s="216">
        <f>S14+'dupa SEPT-R '!S24</f>
        <v>2916495.4299999997</v>
      </c>
      <c r="T19" s="216">
        <f>T14+'dupa SEPT-R '!T24</f>
        <v>640326.92</v>
      </c>
      <c r="U19" s="216">
        <f>U14+'dupa SEPT-R '!U24</f>
        <v>723563.5172983899</v>
      </c>
      <c r="V19" s="216">
        <f>V14+'dupa SEPT-R '!V24</f>
        <v>346077.77</v>
      </c>
      <c r="W19" s="216">
        <f>W14+'dupa SEPT-R '!W24</f>
        <v>-153576.79270161001</v>
      </c>
      <c r="X19" s="216">
        <f>X14+'dupa SEPT-R '!X24</f>
        <v>289708</v>
      </c>
      <c r="Y19" s="216">
        <f>Y14+'dupa SEPT-R '!Y24</f>
        <v>212439.11729839005</v>
      </c>
      <c r="Z19" s="216">
        <f>Z14+'dupa SEPT-R '!Z24</f>
        <v>592314.1</v>
      </c>
      <c r="AA19" s="216">
        <f>AA14+'dupa SEPT-R '!AA24</f>
        <v>625565.74729839</v>
      </c>
      <c r="AB19" s="216">
        <f>AB14+'dupa SEPT-R '!AB24</f>
        <v>400567.84</v>
      </c>
      <c r="AC19" s="216">
        <f>AC14+'dupa SEPT-R '!AC24</f>
        <v>-83545.33270161</v>
      </c>
      <c r="AD19" s="216">
        <f>AD14+'dupa SEPT-R '!AD24</f>
        <v>714392.39710758</v>
      </c>
      <c r="AE19" s="216">
        <f>AE14+'dupa SEPT-R '!AE24</f>
        <v>479482.93</v>
      </c>
      <c r="AF19" s="216">
        <f>AF14+'dupa SEPT-R '!AF24</f>
        <v>-232387.50289242005</v>
      </c>
      <c r="AG19" s="216">
        <f>AG14+'dupa SEPT-R '!AG24</f>
        <v>1756928.32</v>
      </c>
      <c r="AH19" s="216">
        <f>AH14+'dupa SEPT-R '!AH24</f>
        <v>1982117.62</v>
      </c>
      <c r="AI19" s="216">
        <f>AI14+'dupa SEPT-R '!AI24</f>
        <v>155773.98999999996</v>
      </c>
      <c r="AJ19" s="216">
        <f>AJ14+'dupa SEPT-R '!AJ24</f>
        <v>223587.16999999998</v>
      </c>
      <c r="AK19" s="216">
        <f>AK14+'dupa SEPT-R '!AK24</f>
        <v>93645.32440596988</v>
      </c>
      <c r="AL19" s="216">
        <f>AL14+'dupa SEPT-R '!AL24</f>
        <v>277527.93999999994</v>
      </c>
      <c r="AM19" s="216">
        <f>AM14+'dupa SEPT-R '!AM24</f>
        <v>-536165.928451173</v>
      </c>
      <c r="AN19" s="216">
        <f>AN14+'dupa SEPT-R '!AN24</f>
        <v>317973.32999999996</v>
      </c>
      <c r="AO19" s="216">
        <f>AO14+'dupa SEPT-R '!AO24</f>
        <v>-509389.69559403014</v>
      </c>
      <c r="AP19" s="216">
        <f>AP14+'dupa SEPT-R '!AP24</f>
        <v>727741.4099999999</v>
      </c>
      <c r="AQ19" s="216">
        <f>AQ14+'dupa SEPT-R '!AQ24</f>
        <v>-110740.19559403008</v>
      </c>
      <c r="AR19" s="216">
        <f>AR14+'dupa SEPT-R '!AR24</f>
        <v>502872.12999999995</v>
      </c>
      <c r="AS19" s="216">
        <f>AS14+'dupa SEPT-R '!AS24</f>
        <v>-1149469.6755940302</v>
      </c>
      <c r="AT19" s="216">
        <f>AT14+'dupa SEPT-R '!AT24</f>
        <v>429893.48383934214</v>
      </c>
      <c r="AU19" s="216">
        <f>AU14+'dupa SEPT-R '!AU24</f>
        <v>-844810.97559403</v>
      </c>
      <c r="AV19" s="216">
        <f>AV14+'dupa SEPT-R '!AV24</f>
        <v>648553.9150893422</v>
      </c>
      <c r="AW19" s="216">
        <f>AW14+'dupa SEPT-R '!AW24</f>
        <v>-397309.5155940301</v>
      </c>
      <c r="AX19" s="216">
        <f>AX14+'dupa SEPT-R '!AX24</f>
        <v>611969.57</v>
      </c>
      <c r="AY19" s="216">
        <f>AY14+'dupa SEPT-R '!BB24</f>
        <v>3130324.6799999997</v>
      </c>
      <c r="AZ19" s="372">
        <f>AZ14+'dupa SEPT-R '!BD24</f>
        <v>-1524733.7853191695</v>
      </c>
      <c r="BA19" s="372">
        <f>BA14+'dupa SEPT-R '!BE24</f>
        <v>522790</v>
      </c>
      <c r="BB19" s="372">
        <f>BB14+'dupa SEPT-R '!BF24</f>
        <v>115269.99999999999</v>
      </c>
      <c r="BC19" s="372">
        <f>BC14+'dupa SEPT-R '!BG24</f>
        <v>1428048.92</v>
      </c>
      <c r="BD19" s="217">
        <f>BD14+'dupa SEPT-R '!BH24</f>
        <v>11103892.669999998</v>
      </c>
      <c r="BE19" s="494">
        <f>BE14+'dupa SEPT-R '!BI24</f>
        <v>9637444.83</v>
      </c>
      <c r="BF19" s="215" t="e">
        <f>BF14+#REF!</f>
        <v>#REF!</v>
      </c>
      <c r="BG19" s="77" t="e">
        <f>BG14+#REF!</f>
        <v>#REF!</v>
      </c>
    </row>
    <row r="20" spans="3:59" ht="41.25" customHeight="1" hidden="1" thickBot="1">
      <c r="C20" s="191"/>
      <c r="D20" s="152"/>
      <c r="E20" s="218" t="s">
        <v>54</v>
      </c>
      <c r="F20" s="193" t="e">
        <f>E15+#REF!</f>
        <v>#REF!</v>
      </c>
      <c r="G20" s="424" t="s">
        <v>43</v>
      </c>
      <c r="H20" s="425"/>
      <c r="I20" s="425"/>
      <c r="J20" s="426" t="s">
        <v>80</v>
      </c>
      <c r="K20" s="427"/>
      <c r="L20" s="156" t="e">
        <f>L15+#REF!</f>
        <v>#REF!</v>
      </c>
      <c r="M20" s="428"/>
      <c r="N20" s="428"/>
      <c r="O20" s="209"/>
      <c r="P20" s="429"/>
      <c r="Q20" s="429"/>
      <c r="R20" s="209"/>
      <c r="S20" s="209"/>
      <c r="T20" s="417" t="s">
        <v>79</v>
      </c>
      <c r="U20" s="417"/>
      <c r="V20" s="292" t="e">
        <f>V16+#REF!</f>
        <v>#REF!</v>
      </c>
      <c r="W20" s="209"/>
      <c r="X20" s="209"/>
      <c r="Y20" s="209"/>
      <c r="Z20" s="209"/>
      <c r="AA20" s="418" t="s">
        <v>85</v>
      </c>
      <c r="AB20" s="418"/>
      <c r="AC20" s="292" t="e">
        <f>AE16+#REF!</f>
        <v>#REF!</v>
      </c>
      <c r="AD20" s="326"/>
      <c r="AE20" s="326"/>
      <c r="AF20" s="209"/>
      <c r="AG20" s="326"/>
      <c r="AH20" s="326"/>
      <c r="AI20" s="326"/>
      <c r="AJ20" s="411" t="s">
        <v>115</v>
      </c>
      <c r="AK20" s="412"/>
      <c r="AL20" s="387" t="e">
        <f>AL15+#REF!</f>
        <v>#REF!</v>
      </c>
      <c r="AM20" s="209"/>
      <c r="AN20" s="209"/>
      <c r="AO20" s="209"/>
      <c r="AP20" s="209"/>
      <c r="AQ20" s="411" t="s">
        <v>126</v>
      </c>
      <c r="AR20" s="412"/>
      <c r="AS20" s="326" t="e">
        <f>AS15+#REF!</f>
        <v>#REF!</v>
      </c>
      <c r="AT20" s="209"/>
      <c r="AU20" s="209"/>
      <c r="AV20" s="209"/>
      <c r="AW20" s="404" t="s">
        <v>133</v>
      </c>
      <c r="AX20" s="405">
        <f>AY15+'dupa SEPT-R '!AY25</f>
        <v>2415082.4792834306</v>
      </c>
      <c r="AY20" s="326"/>
      <c r="AZ20" s="209"/>
      <c r="BA20" s="209"/>
      <c r="BB20" s="209"/>
      <c r="BC20" s="209"/>
      <c r="BD20" s="384"/>
      <c r="BE20" s="385"/>
      <c r="BG20" s="77">
        <f t="shared" si="21"/>
        <v>0</v>
      </c>
    </row>
    <row r="21" spans="2:60" ht="38.25" customHeight="1" thickBot="1">
      <c r="B21" s="433" t="s">
        <v>55</v>
      </c>
      <c r="C21" s="434">
        <f>1300000+700000+274870+282620</f>
        <v>2557490</v>
      </c>
      <c r="D21" s="139"/>
      <c r="E21" s="162" t="e">
        <f>F20+L20</f>
        <v>#REF!</v>
      </c>
      <c r="F21" s="220" t="s">
        <v>56</v>
      </c>
      <c r="G21" s="139"/>
      <c r="H21" s="139"/>
      <c r="I21" s="139"/>
      <c r="J21" s="231" t="s">
        <v>58</v>
      </c>
      <c r="K21" s="232" t="e">
        <f>L19</f>
        <v>#REF!</v>
      </c>
      <c r="L21" s="78"/>
      <c r="M21" s="78"/>
      <c r="N21" s="249"/>
      <c r="O21" s="250"/>
      <c r="P21" s="269" t="s">
        <v>72</v>
      </c>
      <c r="Q21" s="241"/>
      <c r="R21" s="78"/>
      <c r="S21" s="78"/>
      <c r="T21" s="78"/>
      <c r="U21" s="78"/>
      <c r="V21" s="78"/>
      <c r="W21" s="78"/>
      <c r="X21" s="78"/>
      <c r="Y21" s="78"/>
      <c r="Z21" s="78"/>
      <c r="AA21" s="324" t="s">
        <v>35</v>
      </c>
      <c r="AB21" s="325" t="e">
        <f>AI17+#REF!</f>
        <v>#REF!</v>
      </c>
      <c r="AC21" s="323"/>
      <c r="AD21" s="323" t="e">
        <f>AE14+#REF!</f>
        <v>#REF!</v>
      </c>
      <c r="AE21" s="323"/>
      <c r="AF21" s="323"/>
      <c r="AG21" s="323"/>
      <c r="AH21" s="323"/>
      <c r="AI21" s="323"/>
      <c r="AJ21" s="386"/>
      <c r="AK21" s="386"/>
      <c r="AL21" s="386"/>
      <c r="AM21" s="323"/>
      <c r="AN21" s="323"/>
      <c r="AO21" s="323"/>
      <c r="AP21" s="323"/>
      <c r="AQ21" s="392"/>
      <c r="AR21" s="392"/>
      <c r="AS21" s="392"/>
      <c r="AT21" s="392"/>
      <c r="AU21" s="419"/>
      <c r="AV21" s="420"/>
      <c r="AW21" s="420"/>
      <c r="AX21" s="420"/>
      <c r="AY21" s="420"/>
      <c r="AZ21" s="421"/>
      <c r="BA21" s="376"/>
      <c r="BB21" s="323"/>
      <c r="BC21" s="323"/>
      <c r="BD21" s="383" t="s">
        <v>114</v>
      </c>
      <c r="BE21" s="188">
        <f>BD19-C29</f>
        <v>584322.6699999981</v>
      </c>
      <c r="BG21" s="77">
        <f t="shared" si="21"/>
        <v>0</v>
      </c>
      <c r="BH21" s="125" t="s">
        <v>141</v>
      </c>
    </row>
    <row r="22" spans="2:59" ht="25.5" customHeight="1" hidden="1" thickBot="1">
      <c r="B22" s="131"/>
      <c r="C22" s="132">
        <v>466000</v>
      </c>
      <c r="D22" s="140"/>
      <c r="E22" s="198"/>
      <c r="F22" s="140"/>
      <c r="G22" s="140"/>
      <c r="H22" s="140"/>
      <c r="I22" s="140"/>
      <c r="J22" s="207" t="s">
        <v>35</v>
      </c>
      <c r="K22" s="208" t="e">
        <f>L15+#REF!</f>
        <v>#REF!</v>
      </c>
      <c r="L22" s="140"/>
      <c r="M22" s="140"/>
      <c r="N22" s="140"/>
      <c r="O22" s="140"/>
      <c r="P22" s="140"/>
      <c r="Q22" s="140"/>
      <c r="R22" s="136"/>
      <c r="S22" s="136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361"/>
      <c r="AQ22" s="361"/>
      <c r="AR22" s="361"/>
      <c r="AS22" s="361"/>
      <c r="AT22" s="361"/>
      <c r="AU22" s="377"/>
      <c r="AV22" s="377"/>
      <c r="AW22" s="377"/>
      <c r="AX22" s="377"/>
      <c r="AY22" s="377"/>
      <c r="AZ22" s="377"/>
      <c r="BA22" s="378" t="e">
        <f>#REF!</f>
        <v>#REF!</v>
      </c>
      <c r="BB22" s="240"/>
      <c r="BC22" s="240"/>
      <c r="BD22" s="187" t="e">
        <f>#REF!</f>
        <v>#REF!</v>
      </c>
      <c r="BE22" s="39" t="e">
        <f>BE21-#REF!</f>
        <v>#REF!</v>
      </c>
      <c r="BG22" s="77">
        <f t="shared" si="21"/>
        <v>0</v>
      </c>
    </row>
    <row r="23" spans="2:59" ht="25.5" customHeight="1" hidden="1" thickBot="1">
      <c r="B23" s="134"/>
      <c r="C23" s="137"/>
      <c r="D23" s="135"/>
      <c r="E23" s="135"/>
      <c r="F23" s="135"/>
      <c r="G23" s="135"/>
      <c r="H23" s="135"/>
      <c r="I23" s="135"/>
      <c r="J23" s="135"/>
      <c r="K23" s="135"/>
      <c r="L23" s="135"/>
      <c r="M23" s="135" t="s">
        <v>36</v>
      </c>
      <c r="N23" s="135"/>
      <c r="O23" s="135"/>
      <c r="P23" s="135"/>
      <c r="Q23" s="135"/>
      <c r="R23" s="137" t="e">
        <f>C21+R21-K22</f>
        <v>#REF!</v>
      </c>
      <c r="S23" s="137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379"/>
      <c r="AV23" s="379"/>
      <c r="AW23" s="379"/>
      <c r="AX23" s="379"/>
      <c r="AY23" s="379"/>
      <c r="AZ23" s="379"/>
      <c r="BA23" s="380">
        <v>667000</v>
      </c>
      <c r="BB23" s="241"/>
      <c r="BC23" s="241"/>
      <c r="BD23" s="186">
        <v>667000</v>
      </c>
      <c r="BE23" s="169"/>
      <c r="BG23" s="266" t="e">
        <f>SUM(BG15:BG22)</f>
        <v>#REF!</v>
      </c>
    </row>
    <row r="24" spans="2:59" ht="25.5" customHeight="1" hidden="1" thickBot="1">
      <c r="B24" s="159"/>
      <c r="C24" s="163">
        <v>3070000</v>
      </c>
      <c r="D24" s="138"/>
      <c r="E24" s="167">
        <v>3186320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41"/>
      <c r="S24" s="235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133"/>
      <c r="AV24" s="133"/>
      <c r="AW24" s="133"/>
      <c r="AX24" s="133"/>
      <c r="AY24" s="133"/>
      <c r="AZ24" s="133"/>
      <c r="BA24" s="381" t="e">
        <f>BA22-BA23</f>
        <v>#REF!</v>
      </c>
      <c r="BB24" s="242"/>
      <c r="BC24" s="242"/>
      <c r="BD24" s="104" t="e">
        <f>BD22-BD23</f>
        <v>#REF!</v>
      </c>
      <c r="BE24" s="34"/>
      <c r="BG24" s="267" t="e">
        <f>BG14+BG23</f>
        <v>#REF!</v>
      </c>
    </row>
    <row r="25" spans="2:57" ht="19.5" customHeight="1" hidden="1" thickBot="1">
      <c r="B25" s="159"/>
      <c r="C25" s="172">
        <v>72293.07</v>
      </c>
      <c r="D25" s="173"/>
      <c r="E25" s="173">
        <v>3323950</v>
      </c>
      <c r="R25" s="2"/>
      <c r="S25" s="2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362"/>
      <c r="AQ25" s="362"/>
      <c r="AR25" s="362"/>
      <c r="AS25" s="362"/>
      <c r="AT25" s="362"/>
      <c r="AU25" s="2"/>
      <c r="AV25" s="2"/>
      <c r="AW25" s="2"/>
      <c r="AX25" s="2"/>
      <c r="AY25" s="2"/>
      <c r="AZ25" s="2"/>
      <c r="BA25" s="381"/>
      <c r="BB25" s="65"/>
      <c r="BC25" s="65"/>
      <c r="BD25" s="104"/>
      <c r="BE25" s="34"/>
    </row>
    <row r="26" spans="2:57" ht="25.5" customHeight="1" hidden="1" thickBot="1">
      <c r="B26" s="175"/>
      <c r="C26" s="176">
        <v>3982180</v>
      </c>
      <c r="R26" s="129">
        <v>3982180</v>
      </c>
      <c r="S26" s="129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129"/>
      <c r="AV26" s="129"/>
      <c r="AW26" s="129"/>
      <c r="AX26" s="129"/>
      <c r="AY26" s="129"/>
      <c r="AZ26" s="129"/>
      <c r="BA26" s="94"/>
      <c r="BB26" s="243"/>
      <c r="BC26" s="243"/>
      <c r="BD26" s="168"/>
      <c r="BE26" s="170"/>
    </row>
    <row r="27" spans="2:57" ht="15" customHeight="1" thickBot="1">
      <c r="B27" s="159"/>
      <c r="C27" s="178"/>
      <c r="D27" s="179"/>
      <c r="E27" s="180"/>
      <c r="AU27" s="1"/>
      <c r="AV27" s="1"/>
      <c r="AW27" s="1"/>
      <c r="AX27" s="1"/>
      <c r="AY27" s="1"/>
      <c r="AZ27" s="1"/>
      <c r="BA27" s="94"/>
      <c r="BD27" s="168"/>
      <c r="BE27" s="34"/>
    </row>
    <row r="28" spans="2:61" ht="25.5" customHeight="1" thickBot="1">
      <c r="B28" s="181" t="s">
        <v>63</v>
      </c>
      <c r="C28" s="190">
        <v>5423960</v>
      </c>
      <c r="D28" s="192"/>
      <c r="E28" s="155"/>
      <c r="F28" s="219"/>
      <c r="G28" s="219"/>
      <c r="H28" s="219"/>
      <c r="I28" s="219"/>
      <c r="J28" s="219"/>
      <c r="K28" s="219"/>
      <c r="L28" s="174"/>
      <c r="M28" s="174"/>
      <c r="N28" s="174"/>
      <c r="O28" s="174"/>
      <c r="P28" s="174"/>
      <c r="Q28" s="174"/>
      <c r="R28" s="189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382"/>
      <c r="AV28" s="382"/>
      <c r="AW28" s="382"/>
      <c r="AX28" s="236"/>
      <c r="AY28" s="236"/>
      <c r="AZ28" s="236"/>
      <c r="BA28" s="406"/>
      <c r="BB28" s="236"/>
      <c r="BC28" s="236"/>
      <c r="BD28" s="236"/>
      <c r="BE28" s="236"/>
      <c r="BF28" s="406"/>
      <c r="BG28" s="89"/>
      <c r="BH28" s="89"/>
      <c r="BI28" s="89"/>
    </row>
    <row r="29" spans="2:61" ht="25.5" customHeight="1" thickBot="1">
      <c r="B29" s="374" t="s">
        <v>113</v>
      </c>
      <c r="C29" s="375">
        <v>10519570</v>
      </c>
      <c r="AU29" s="1"/>
      <c r="AV29" s="1"/>
      <c r="AW29" s="1"/>
      <c r="AX29" s="89"/>
      <c r="AY29" s="99"/>
      <c r="AZ29" s="99"/>
      <c r="BA29" s="78"/>
      <c r="BB29" s="89"/>
      <c r="BC29" s="89"/>
      <c r="BD29" s="99"/>
      <c r="BE29" s="407"/>
      <c r="BF29" s="78"/>
      <c r="BG29" s="89"/>
      <c r="BH29" s="89"/>
      <c r="BI29" s="89"/>
    </row>
    <row r="30" spans="47:61" ht="25.5" customHeight="1">
      <c r="AU30" s="1"/>
      <c r="AV30" s="1"/>
      <c r="AW30" s="1"/>
      <c r="AX30" s="89"/>
      <c r="AY30" s="89"/>
      <c r="AZ30" s="89"/>
      <c r="BA30" s="168"/>
      <c r="BB30" s="89"/>
      <c r="BC30" s="89"/>
      <c r="BD30" s="168"/>
      <c r="BE30" s="89"/>
      <c r="BF30" s="89"/>
      <c r="BG30" s="89"/>
      <c r="BH30" s="89"/>
      <c r="BI30" s="89"/>
    </row>
    <row r="31" spans="50:61" ht="25.5" customHeight="1">
      <c r="AX31" s="89"/>
      <c r="AY31" s="89"/>
      <c r="AZ31" s="89"/>
      <c r="BA31" s="89"/>
      <c r="BB31" s="89"/>
      <c r="BC31" s="89"/>
      <c r="BD31" s="168"/>
      <c r="BE31" s="89"/>
      <c r="BF31" s="89"/>
      <c r="BG31" s="89"/>
      <c r="BH31" s="89"/>
      <c r="BI31" s="89"/>
    </row>
  </sheetData>
  <sheetProtection/>
  <mergeCells count="19">
    <mergeCell ref="B18:B19"/>
    <mergeCell ref="J15:K15"/>
    <mergeCell ref="N15:O15"/>
    <mergeCell ref="U15:V15"/>
    <mergeCell ref="AA15:AB15"/>
    <mergeCell ref="AC15:AD15"/>
    <mergeCell ref="BE15:BF15"/>
    <mergeCell ref="J17:K17"/>
    <mergeCell ref="P17:Q17"/>
    <mergeCell ref="G20:I20"/>
    <mergeCell ref="J20:K20"/>
    <mergeCell ref="M20:N20"/>
    <mergeCell ref="P20:Q20"/>
    <mergeCell ref="T20:U20"/>
    <mergeCell ref="AA20:AB20"/>
    <mergeCell ref="AJ20:AK20"/>
    <mergeCell ref="AQ20:AR20"/>
    <mergeCell ref="AU21:AZ21"/>
    <mergeCell ref="L16:R16"/>
  </mergeCells>
  <printOptions/>
  <pageMargins left="0.15748031496062992" right="0.15748031496062992" top="0.4724409448818898" bottom="0.1968503937007874" header="0.6692913385826772" footer="0.1574803149606299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72"/>
  <sheetViews>
    <sheetView zoomScalePageLayoutView="0" workbookViewId="0" topLeftCell="A10">
      <selection activeCell="BM4" sqref="BM4"/>
    </sheetView>
  </sheetViews>
  <sheetFormatPr defaultColWidth="9.00390625" defaultRowHeight="25.5" customHeight="1"/>
  <cols>
    <col min="1" max="1" width="3.875" style="1" customWidth="1"/>
    <col min="2" max="2" width="45.75390625" style="8" customWidth="1"/>
    <col min="3" max="3" width="9.875" style="63" hidden="1" customWidth="1"/>
    <col min="4" max="4" width="8.625" style="2" hidden="1" customWidth="1"/>
    <col min="5" max="5" width="9.125" style="26" hidden="1" customWidth="1"/>
    <col min="6" max="6" width="9.00390625" style="2" hidden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10.875" style="63" hidden="1" customWidth="1"/>
    <col min="11" max="11" width="9.625" style="21" hidden="1" customWidth="1"/>
    <col min="12" max="12" width="8.25390625" style="61" hidden="1" customWidth="1"/>
    <col min="13" max="13" width="9.875" style="61" hidden="1" customWidth="1"/>
    <col min="14" max="14" width="8.625" style="21" hidden="1" customWidth="1"/>
    <col min="15" max="15" width="9.75390625" style="61" hidden="1" customWidth="1"/>
    <col min="16" max="16" width="8.875" style="61" hidden="1" customWidth="1"/>
    <col min="17" max="17" width="9.75390625" style="61" hidden="1" customWidth="1"/>
    <col min="18" max="19" width="9.875" style="8" bestFit="1" customWidth="1"/>
    <col min="20" max="20" width="8.75390625" style="247" hidden="1" customWidth="1"/>
    <col min="21" max="22" width="8.625" style="247" hidden="1" customWidth="1"/>
    <col min="23" max="23" width="9.75390625" style="247" hidden="1" customWidth="1"/>
    <col min="24" max="24" width="10.50390625" style="247" hidden="1" customWidth="1"/>
    <col min="25" max="25" width="7.75390625" style="247" hidden="1" customWidth="1"/>
    <col min="26" max="26" width="8.75390625" style="247" hidden="1" customWidth="1"/>
    <col min="27" max="27" width="8.625" style="247" hidden="1" customWidth="1"/>
    <col min="28" max="28" width="9.00390625" style="247" hidden="1" customWidth="1"/>
    <col min="29" max="29" width="9.75390625" style="247" hidden="1" customWidth="1"/>
    <col min="30" max="30" width="8.625" style="247" hidden="1" customWidth="1"/>
    <col min="31" max="31" width="10.125" style="247" hidden="1" customWidth="1"/>
    <col min="32" max="32" width="10.50390625" style="247" hidden="1" customWidth="1"/>
    <col min="33" max="33" width="10.00390625" style="247" hidden="1" customWidth="1"/>
    <col min="34" max="34" width="10.50390625" style="247" hidden="1" customWidth="1"/>
    <col min="35" max="35" width="8.625" style="247" hidden="1" customWidth="1"/>
    <col min="36" max="36" width="7.75390625" style="247" hidden="1" customWidth="1"/>
    <col min="37" max="37" width="10.375" style="247" hidden="1" customWidth="1"/>
    <col min="38" max="38" width="10.125" style="247" hidden="1" customWidth="1"/>
    <col min="39" max="39" width="10.00390625" style="247" hidden="1" customWidth="1"/>
    <col min="40" max="40" width="9.75390625" style="247" hidden="1" customWidth="1"/>
    <col min="41" max="41" width="7.75390625" style="247" hidden="1" customWidth="1"/>
    <col min="42" max="42" width="8.625" style="247" hidden="1" customWidth="1"/>
    <col min="43" max="43" width="9.50390625" style="247" hidden="1" customWidth="1"/>
    <col min="44" max="44" width="10.125" style="247" hidden="1" customWidth="1"/>
    <col min="45" max="45" width="10.375" style="247" hidden="1" customWidth="1"/>
    <col min="46" max="46" width="10.00390625" style="247" hidden="1" customWidth="1"/>
    <col min="47" max="47" width="7.75390625" style="247" hidden="1" customWidth="1"/>
    <col min="48" max="48" width="9.00390625" style="247" hidden="1" customWidth="1"/>
    <col min="49" max="49" width="7.75390625" style="247" hidden="1" customWidth="1"/>
    <col min="50" max="50" width="9.75390625" style="247" hidden="1" customWidth="1"/>
    <col min="51" max="51" width="10.875" style="247" hidden="1" customWidth="1"/>
    <col min="52" max="52" width="9.50390625" style="247" hidden="1" customWidth="1"/>
    <col min="53" max="53" width="8.00390625" style="247" hidden="1" customWidth="1"/>
    <col min="54" max="54" width="10.875" style="247" customWidth="1"/>
    <col min="55" max="57" width="8.625" style="247" hidden="1" customWidth="1"/>
    <col min="58" max="58" width="7.75390625" style="247" hidden="1" customWidth="1"/>
    <col min="59" max="59" width="8.625" style="247" bestFit="1" customWidth="1"/>
    <col min="60" max="60" width="14.75390625" style="26" customWidth="1"/>
    <col min="61" max="61" width="14.375" style="2" customWidth="1"/>
    <col min="62" max="62" width="9.00390625" style="1" hidden="1" customWidth="1"/>
    <col min="63" max="16384" width="9.00390625" style="1" customWidth="1"/>
  </cols>
  <sheetData>
    <row r="1" spans="1:62" s="3" customFormat="1" ht="31.5" customHeight="1">
      <c r="A1" s="12" t="s">
        <v>5</v>
      </c>
      <c r="B1" s="12"/>
      <c r="C1" s="62"/>
      <c r="D1" s="13"/>
      <c r="E1" s="25"/>
      <c r="F1" s="13"/>
      <c r="G1" s="13"/>
      <c r="H1" s="20"/>
      <c r="I1" s="20"/>
      <c r="J1" s="62"/>
      <c r="K1" s="20"/>
      <c r="L1" s="67"/>
      <c r="M1" s="67"/>
      <c r="N1" s="20"/>
      <c r="O1" s="67"/>
      <c r="P1" s="67"/>
      <c r="Q1" s="67"/>
      <c r="R1" s="12"/>
      <c r="S1" s="12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5"/>
      <c r="BI1" s="13"/>
      <c r="BJ1" s="125" t="s">
        <v>53</v>
      </c>
    </row>
    <row r="2" ht="21" customHeight="1">
      <c r="A2" s="8"/>
    </row>
    <row r="3" spans="1:61" s="3" customFormat="1" ht="21.75" customHeight="1" thickBot="1">
      <c r="A3" s="12" t="s">
        <v>95</v>
      </c>
      <c r="B3" s="12"/>
      <c r="C3" s="62"/>
      <c r="D3" s="13"/>
      <c r="E3" s="25"/>
      <c r="F3" s="13"/>
      <c r="G3" s="13"/>
      <c r="H3" s="20"/>
      <c r="I3" s="20"/>
      <c r="J3" s="62"/>
      <c r="K3" s="20"/>
      <c r="L3" s="67"/>
      <c r="M3" s="67"/>
      <c r="N3" s="20"/>
      <c r="O3" s="67"/>
      <c r="P3" s="67"/>
      <c r="Q3" s="67"/>
      <c r="R3" s="12"/>
      <c r="S3" s="12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5"/>
      <c r="BI3" s="13"/>
    </row>
    <row r="4" spans="1:62" s="9" customFormat="1" ht="64.5" customHeight="1" thickBot="1">
      <c r="A4" s="15" t="s">
        <v>9</v>
      </c>
      <c r="B4" s="110" t="s">
        <v>0</v>
      </c>
      <c r="C4" s="150" t="s">
        <v>45</v>
      </c>
      <c r="D4" s="18" t="s">
        <v>46</v>
      </c>
      <c r="E4" s="35" t="s">
        <v>16</v>
      </c>
      <c r="F4" s="66" t="s">
        <v>47</v>
      </c>
      <c r="G4" s="117" t="s">
        <v>30</v>
      </c>
      <c r="H4" s="18" t="s">
        <v>41</v>
      </c>
      <c r="I4" s="118" t="s">
        <v>49</v>
      </c>
      <c r="J4" s="120" t="s">
        <v>48</v>
      </c>
      <c r="K4" s="35" t="s">
        <v>17</v>
      </c>
      <c r="L4" s="66" t="s">
        <v>33</v>
      </c>
      <c r="M4" s="19" t="s">
        <v>50</v>
      </c>
      <c r="N4" s="255" t="s">
        <v>29</v>
      </c>
      <c r="O4" s="66" t="s">
        <v>64</v>
      </c>
      <c r="P4" s="117" t="s">
        <v>38</v>
      </c>
      <c r="Q4" s="117" t="s">
        <v>66</v>
      </c>
      <c r="R4" s="157" t="s">
        <v>68</v>
      </c>
      <c r="S4" s="157" t="s">
        <v>97</v>
      </c>
      <c r="T4" s="308" t="s">
        <v>60</v>
      </c>
      <c r="U4" s="268" t="s">
        <v>70</v>
      </c>
      <c r="V4" s="270" t="s">
        <v>73</v>
      </c>
      <c r="W4" s="66" t="s">
        <v>74</v>
      </c>
      <c r="X4" s="117" t="s">
        <v>75</v>
      </c>
      <c r="Y4" s="117" t="s">
        <v>76</v>
      </c>
      <c r="Z4" s="309" t="s">
        <v>61</v>
      </c>
      <c r="AA4" s="316" t="s">
        <v>78</v>
      </c>
      <c r="AB4" s="320" t="s">
        <v>81</v>
      </c>
      <c r="AC4" s="319" t="s">
        <v>82</v>
      </c>
      <c r="AD4" s="244" t="s">
        <v>62</v>
      </c>
      <c r="AE4" s="320" t="s">
        <v>86</v>
      </c>
      <c r="AF4" s="319" t="s">
        <v>87</v>
      </c>
      <c r="AG4" s="117" t="s">
        <v>98</v>
      </c>
      <c r="AH4" s="66" t="s">
        <v>88</v>
      </c>
      <c r="AI4" s="331" t="s">
        <v>89</v>
      </c>
      <c r="AJ4" s="331" t="s">
        <v>100</v>
      </c>
      <c r="AK4" s="343" t="s">
        <v>101</v>
      </c>
      <c r="AL4" s="371" t="s">
        <v>106</v>
      </c>
      <c r="AM4" s="319" t="s">
        <v>105</v>
      </c>
      <c r="AN4" s="117" t="s">
        <v>107</v>
      </c>
      <c r="AO4" s="117" t="s">
        <v>108</v>
      </c>
      <c r="AP4" s="331" t="s">
        <v>90</v>
      </c>
      <c r="AQ4" s="346" t="s">
        <v>109</v>
      </c>
      <c r="AR4" s="371" t="s">
        <v>116</v>
      </c>
      <c r="AS4" s="319" t="s">
        <v>118</v>
      </c>
      <c r="AT4" s="117" t="s">
        <v>124</v>
      </c>
      <c r="AU4" s="117" t="s">
        <v>122</v>
      </c>
      <c r="AV4" s="331" t="s">
        <v>91</v>
      </c>
      <c r="AW4" s="346" t="s">
        <v>123</v>
      </c>
      <c r="AX4" s="371" t="s">
        <v>127</v>
      </c>
      <c r="AY4" s="319" t="s">
        <v>128</v>
      </c>
      <c r="AZ4" s="117" t="s">
        <v>129</v>
      </c>
      <c r="BA4" s="117" t="s">
        <v>130</v>
      </c>
      <c r="BB4" s="371" t="s">
        <v>111</v>
      </c>
      <c r="BC4" s="331" t="s">
        <v>92</v>
      </c>
      <c r="BD4" s="346" t="s">
        <v>131</v>
      </c>
      <c r="BE4" s="331" t="s">
        <v>93</v>
      </c>
      <c r="BF4" s="331" t="s">
        <v>94</v>
      </c>
      <c r="BG4" s="367" t="s">
        <v>112</v>
      </c>
      <c r="BH4" s="183" t="s">
        <v>52</v>
      </c>
      <c r="BI4" s="177" t="s">
        <v>135</v>
      </c>
      <c r="BJ4" s="299" t="s">
        <v>136</v>
      </c>
    </row>
    <row r="5" spans="1:62" s="5" customFormat="1" ht="26.25" customHeight="1">
      <c r="A5" s="4">
        <v>1</v>
      </c>
      <c r="B5" s="111" t="s">
        <v>7</v>
      </c>
      <c r="C5" s="80">
        <v>1088876</v>
      </c>
      <c r="D5" s="32">
        <v>100000</v>
      </c>
      <c r="E5" s="194">
        <v>83268</v>
      </c>
      <c r="F5" s="32">
        <f aca="true" t="shared" si="0" ref="F5:F11">D5-E5</f>
        <v>16732</v>
      </c>
      <c r="G5" s="32"/>
      <c r="H5" s="32">
        <v>99128.21</v>
      </c>
      <c r="I5" s="32">
        <v>0</v>
      </c>
      <c r="J5" s="154">
        <f>H5+I5</f>
        <v>99128.21</v>
      </c>
      <c r="K5" s="43">
        <v>99118</v>
      </c>
      <c r="L5" s="32">
        <f>J5-K5</f>
        <v>10.210000000006403</v>
      </c>
      <c r="M5" s="202">
        <v>105482.01589274999</v>
      </c>
      <c r="N5" s="256">
        <v>105464</v>
      </c>
      <c r="O5" s="32">
        <f aca="true" t="shared" si="1" ref="O5:O11">M5-N5</f>
        <v>18.01589274998696</v>
      </c>
      <c r="P5" s="32">
        <v>0</v>
      </c>
      <c r="Q5" s="32"/>
      <c r="R5" s="300">
        <f>E5+K5+N5</f>
        <v>287850</v>
      </c>
      <c r="S5" s="301">
        <f>V5+AB5+AE5</f>
        <v>252950</v>
      </c>
      <c r="T5" s="302">
        <v>85000</v>
      </c>
      <c r="U5" s="222">
        <f>Q5+T5</f>
        <v>85000</v>
      </c>
      <c r="V5" s="303">
        <v>84989</v>
      </c>
      <c r="W5" s="304">
        <f>U5-V5</f>
        <v>11</v>
      </c>
      <c r="X5" s="305"/>
      <c r="Y5" s="306"/>
      <c r="Z5" s="305">
        <v>85000</v>
      </c>
      <c r="AA5" s="317">
        <f>Y5+Z5</f>
        <v>85000</v>
      </c>
      <c r="AB5" s="321">
        <v>84993</v>
      </c>
      <c r="AC5" s="310">
        <f>AA5-AB5</f>
        <v>7</v>
      </c>
      <c r="AD5" s="199">
        <v>82988.64614099998</v>
      </c>
      <c r="AE5" s="321">
        <v>82968</v>
      </c>
      <c r="AF5" s="199">
        <f>AD5-AE5</f>
        <v>20.646140999975614</v>
      </c>
      <c r="AG5" s="199"/>
      <c r="AH5" s="332">
        <f aca="true" t="shared" si="2" ref="AH5:AH13">AI5+AP5+AV5+BC5+BE5+BF5</f>
        <v>667797.01</v>
      </c>
      <c r="AI5" s="332">
        <v>90000</v>
      </c>
      <c r="AJ5" s="332"/>
      <c r="AK5" s="344">
        <f>AI5+AJ5</f>
        <v>90000</v>
      </c>
      <c r="AL5" s="352">
        <v>89968.97</v>
      </c>
      <c r="AM5" s="391">
        <f aca="true" t="shared" si="3" ref="AM5:AM10">AK5-AL5</f>
        <v>31.029999999998836</v>
      </c>
      <c r="AN5" s="332"/>
      <c r="AO5" s="332"/>
      <c r="AP5" s="332">
        <v>90000</v>
      </c>
      <c r="AQ5" s="364">
        <f>AP5</f>
        <v>90000</v>
      </c>
      <c r="AR5" s="352">
        <v>89960.98</v>
      </c>
      <c r="AS5" s="391">
        <f aca="true" t="shared" si="4" ref="AS5:AS10">AQ5-AR5</f>
        <v>39.020000000004075</v>
      </c>
      <c r="AT5" s="332"/>
      <c r="AU5" s="332"/>
      <c r="AV5" s="332">
        <v>75000</v>
      </c>
      <c r="AW5" s="364">
        <f>AV5</f>
        <v>75000</v>
      </c>
      <c r="AX5" s="352">
        <v>74984.96</v>
      </c>
      <c r="AY5" s="391">
        <f aca="true" t="shared" si="5" ref="AY5:AY10">AW5-AX5</f>
        <v>15.039999999993597</v>
      </c>
      <c r="AZ5" s="199"/>
      <c r="BA5" s="199"/>
      <c r="BB5" s="352">
        <f aca="true" t="shared" si="6" ref="BB5:BB13">AL5+AR5+AX5</f>
        <v>254914.91000000003</v>
      </c>
      <c r="BC5" s="332">
        <v>165000</v>
      </c>
      <c r="BD5" s="364">
        <f>BC5</f>
        <v>165000</v>
      </c>
      <c r="BE5" s="332">
        <v>165000</v>
      </c>
      <c r="BF5" s="332">
        <v>82797.01</v>
      </c>
      <c r="BG5" s="368">
        <f aca="true" t="shared" si="7" ref="BG5:BG13">BC5+BE5+BF5</f>
        <v>412797.01</v>
      </c>
      <c r="BH5" s="307">
        <f aca="true" t="shared" si="8" ref="BH5:BH13">R5+S5+BB5+BG5</f>
        <v>1208511.92</v>
      </c>
      <c r="BI5" s="80">
        <f>R5+S5+AL5+AR5+AX5</f>
        <v>795714.9099999999</v>
      </c>
      <c r="BJ5" s="76">
        <f>-AY5</f>
        <v>-15.039999999993597</v>
      </c>
    </row>
    <row r="6" spans="1:62" s="5" customFormat="1" ht="26.25" customHeight="1">
      <c r="A6" s="4">
        <v>2</v>
      </c>
      <c r="B6" s="112" t="s">
        <v>8</v>
      </c>
      <c r="C6" s="127">
        <v>594486</v>
      </c>
      <c r="D6" s="33">
        <v>45200</v>
      </c>
      <c r="E6" s="195">
        <v>47870</v>
      </c>
      <c r="F6" s="165">
        <f t="shared" si="0"/>
        <v>-2670</v>
      </c>
      <c r="G6" s="32">
        <f>(C6+E6)/13</f>
        <v>49412</v>
      </c>
      <c r="H6" s="33">
        <v>45197.46</v>
      </c>
      <c r="I6" s="32">
        <f>G6*H25/100</f>
        <v>2636.4919277835565</v>
      </c>
      <c r="J6" s="154">
        <f>H6+I6</f>
        <v>47833.95192778356</v>
      </c>
      <c r="K6" s="43">
        <v>50359</v>
      </c>
      <c r="L6" s="165">
        <f>J6-K6</f>
        <v>-2525.048072216443</v>
      </c>
      <c r="M6" s="202">
        <v>47975.89465215</v>
      </c>
      <c r="N6" s="257">
        <v>59243</v>
      </c>
      <c r="O6" s="165">
        <f t="shared" si="1"/>
        <v>-11267.105347850003</v>
      </c>
      <c r="P6" s="32">
        <f aca="true" t="shared" si="9" ref="P6:P11">R6/3</f>
        <v>52490.666666666664</v>
      </c>
      <c r="Q6" s="32">
        <f>P6*P27/100</f>
        <v>418.01925907700524</v>
      </c>
      <c r="R6" s="70">
        <f>E6+K6+N6</f>
        <v>157472</v>
      </c>
      <c r="S6" s="301">
        <f aca="true" t="shared" si="10" ref="S6:S22">V6+AB6+AE6</f>
        <v>152203</v>
      </c>
      <c r="T6" s="261">
        <v>62000</v>
      </c>
      <c r="U6" s="278">
        <f>Q6+T6</f>
        <v>62418.019259077</v>
      </c>
      <c r="V6" s="281">
        <v>43853</v>
      </c>
      <c r="W6" s="285">
        <f aca="true" t="shared" si="11" ref="W6:W22">U6-V6</f>
        <v>18565.019259077002</v>
      </c>
      <c r="X6" s="264"/>
      <c r="Y6" s="279"/>
      <c r="Z6" s="264">
        <v>62000</v>
      </c>
      <c r="AA6" s="318">
        <f aca="true" t="shared" si="12" ref="AA6:AA22">Y6+Z6</f>
        <v>62000</v>
      </c>
      <c r="AB6" s="322">
        <v>56958</v>
      </c>
      <c r="AC6" s="311">
        <f>AA6-AB6</f>
        <v>5042</v>
      </c>
      <c r="AD6" s="200">
        <v>60897.4383712</v>
      </c>
      <c r="AE6" s="322">
        <v>51392</v>
      </c>
      <c r="AF6" s="199">
        <f aca="true" t="shared" si="13" ref="AF6:AF11">AD6-AE6</f>
        <v>9505.438371199998</v>
      </c>
      <c r="AG6" s="199"/>
      <c r="AH6" s="332">
        <f t="shared" si="2"/>
        <v>316204.1</v>
      </c>
      <c r="AI6" s="332">
        <v>79000</v>
      </c>
      <c r="AJ6" s="332"/>
      <c r="AK6" s="344">
        <f>AI6+AJ6</f>
        <v>79000</v>
      </c>
      <c r="AL6" s="352">
        <v>50899.07</v>
      </c>
      <c r="AM6" s="391">
        <f t="shared" si="3"/>
        <v>28100.93</v>
      </c>
      <c r="AN6" s="332"/>
      <c r="AO6" s="332"/>
      <c r="AP6" s="332">
        <v>79000</v>
      </c>
      <c r="AQ6" s="364">
        <f>AP6</f>
        <v>79000</v>
      </c>
      <c r="AR6" s="352">
        <v>47919.66</v>
      </c>
      <c r="AS6" s="391">
        <f t="shared" si="4"/>
        <v>31080.339999999997</v>
      </c>
      <c r="AT6" s="332"/>
      <c r="AU6" s="332"/>
      <c r="AV6" s="332">
        <v>55000</v>
      </c>
      <c r="AW6" s="364">
        <f>AV6</f>
        <v>55000</v>
      </c>
      <c r="AX6" s="352">
        <v>57098.38</v>
      </c>
      <c r="AY6" s="327">
        <f t="shared" si="5"/>
        <v>-2098.3799999999974</v>
      </c>
      <c r="AZ6" s="199">
        <f>(R6+S6+AL6+AR6+AX6)/9</f>
        <v>51732.456666666665</v>
      </c>
      <c r="BA6" s="199">
        <f>AZ6*BA25/100</f>
        <v>-195520.62619171003</v>
      </c>
      <c r="BB6" s="352">
        <f t="shared" si="6"/>
        <v>155917.11000000002</v>
      </c>
      <c r="BC6" s="332">
        <v>72000</v>
      </c>
      <c r="BD6" s="364">
        <f>BA6+BC6</f>
        <v>-123520.62619171003</v>
      </c>
      <c r="BE6" s="332">
        <v>30000</v>
      </c>
      <c r="BF6" s="332">
        <v>1204.1</v>
      </c>
      <c r="BG6" s="368">
        <f t="shared" si="7"/>
        <v>103204.1</v>
      </c>
      <c r="BH6" s="307">
        <f t="shared" si="8"/>
        <v>568796.21</v>
      </c>
      <c r="BI6" s="80">
        <f>R6+S6+AL6+AR6+AX6</f>
        <v>465592.11</v>
      </c>
      <c r="BJ6" s="77">
        <f>+BA6</f>
        <v>-195520.62619171003</v>
      </c>
    </row>
    <row r="7" spans="1:62" s="5" customFormat="1" ht="24" customHeight="1">
      <c r="A7" s="4">
        <v>3</v>
      </c>
      <c r="B7" s="221" t="s">
        <v>59</v>
      </c>
      <c r="C7" s="127">
        <v>1146095</v>
      </c>
      <c r="D7" s="33">
        <f>25000+90</f>
        <v>25090</v>
      </c>
      <c r="E7" s="195">
        <v>98360</v>
      </c>
      <c r="F7" s="165">
        <f t="shared" si="0"/>
        <v>-73270</v>
      </c>
      <c r="G7" s="32">
        <f>(C7+E7)/13</f>
        <v>95727.30769230769</v>
      </c>
      <c r="H7" s="33">
        <f>23850.99-90</f>
        <v>23760.99</v>
      </c>
      <c r="I7" s="32">
        <f>G7*H25/100</f>
        <v>5107.752651162107</v>
      </c>
      <c r="J7" s="154">
        <f aca="true" t="shared" si="14" ref="J7:J22">H7+I7</f>
        <v>28868.74265116211</v>
      </c>
      <c r="K7" s="43">
        <v>103795</v>
      </c>
      <c r="L7" s="165">
        <f aca="true" t="shared" si="15" ref="L7:L22">J7-K7</f>
        <v>-74926.25734883788</v>
      </c>
      <c r="M7" s="202">
        <v>26002.566345</v>
      </c>
      <c r="N7" s="257">
        <v>77590</v>
      </c>
      <c r="O7" s="165">
        <f t="shared" si="1"/>
        <v>-51587.433655</v>
      </c>
      <c r="P7" s="32">
        <f t="shared" si="9"/>
        <v>93248.33333333333</v>
      </c>
      <c r="Q7" s="32">
        <f>P7*P27/100</f>
        <v>742.6005742639761</v>
      </c>
      <c r="R7" s="70">
        <f aca="true" t="shared" si="16" ref="R7:R22">E7+K7+N7</f>
        <v>279745</v>
      </c>
      <c r="S7" s="301">
        <f t="shared" si="10"/>
        <v>204630</v>
      </c>
      <c r="T7" s="261">
        <v>15000</v>
      </c>
      <c r="U7" s="278">
        <f aca="true" t="shared" si="17" ref="U7:U22">Q7+T7</f>
        <v>15742.600574263975</v>
      </c>
      <c r="V7" s="281">
        <v>50520</v>
      </c>
      <c r="W7" s="286">
        <f t="shared" si="11"/>
        <v>-34777.399425736025</v>
      </c>
      <c r="X7" s="264">
        <f>(R7+V7)/4</f>
        <v>82566.25</v>
      </c>
      <c r="Y7" s="279">
        <f>X7*X27/100</f>
        <v>-43769.10496223545</v>
      </c>
      <c r="Z7" s="264">
        <v>15000</v>
      </c>
      <c r="AA7" s="318">
        <f t="shared" si="12"/>
        <v>-28769.104962235448</v>
      </c>
      <c r="AB7" s="322">
        <v>95880</v>
      </c>
      <c r="AC7" s="312">
        <f aca="true" t="shared" si="18" ref="AC7:AC22">AA7-AB7</f>
        <v>-124649.10496223545</v>
      </c>
      <c r="AD7" s="200">
        <v>10496.52143</v>
      </c>
      <c r="AE7" s="322">
        <v>58230</v>
      </c>
      <c r="AF7" s="327">
        <f t="shared" si="13"/>
        <v>-47733.47857</v>
      </c>
      <c r="AG7" s="199">
        <f>(R7+S7)/6</f>
        <v>80729.16666666667</v>
      </c>
      <c r="AH7" s="332">
        <f t="shared" si="2"/>
        <v>86076.73</v>
      </c>
      <c r="AI7" s="332">
        <v>21000</v>
      </c>
      <c r="AJ7" s="332">
        <f>AG7*AH25/100</f>
        <v>-183908.37485336832</v>
      </c>
      <c r="AK7" s="344">
        <f aca="true" t="shared" si="19" ref="AK7:AK22">AI7+AJ7</f>
        <v>-162908.37485336832</v>
      </c>
      <c r="AL7" s="352">
        <v>61257.52</v>
      </c>
      <c r="AM7" s="327">
        <f t="shared" si="3"/>
        <v>-224165.8948533683</v>
      </c>
      <c r="AN7" s="332">
        <f>(R7+S7+AL7)/7</f>
        <v>77947.50285714286</v>
      </c>
      <c r="AO7" s="332">
        <f>AN7*AO25/100</f>
        <v>-224811.2097309991</v>
      </c>
      <c r="AP7" s="332">
        <v>21000</v>
      </c>
      <c r="AQ7" s="364">
        <f>AO7+AP7+1399.92</f>
        <v>-202411.2897309991</v>
      </c>
      <c r="AR7" s="352">
        <v>71573.04</v>
      </c>
      <c r="AS7" s="327">
        <f t="shared" si="4"/>
        <v>-273984.3297309991</v>
      </c>
      <c r="AT7" s="332">
        <f>(R7+S7+AL7+AR7)/8</f>
        <v>77150.695</v>
      </c>
      <c r="AU7" s="332">
        <f>AT7*AW25/100</f>
        <v>-218352.77150012495</v>
      </c>
      <c r="AV7" s="332">
        <f>21000-1399.92</f>
        <v>19600.08</v>
      </c>
      <c r="AW7" s="364">
        <f aca="true" t="shared" si="20" ref="AW7:AW13">AU7+AV7</f>
        <v>-198752.69150012493</v>
      </c>
      <c r="AX7" s="352">
        <v>76743.88</v>
      </c>
      <c r="AY7" s="327">
        <f t="shared" si="5"/>
        <v>-275496.57150012493</v>
      </c>
      <c r="AZ7" s="199">
        <f>(R7+S7+AL7+AR7+AX7)/9</f>
        <v>77105.49333333335</v>
      </c>
      <c r="BA7" s="199">
        <f>AZ7*BA25/100</f>
        <v>-291416.942297812</v>
      </c>
      <c r="BB7" s="352">
        <f t="shared" si="6"/>
        <v>209574.44</v>
      </c>
      <c r="BC7" s="332">
        <v>21000</v>
      </c>
      <c r="BD7" s="364">
        <f aca="true" t="shared" si="21" ref="BD7:BD13">BA7+BC7</f>
        <v>-270416.942297812</v>
      </c>
      <c r="BE7" s="332">
        <v>3000</v>
      </c>
      <c r="BF7" s="332">
        <v>476.65</v>
      </c>
      <c r="BG7" s="368">
        <f t="shared" si="7"/>
        <v>24476.65</v>
      </c>
      <c r="BH7" s="307">
        <f t="shared" si="8"/>
        <v>718426.09</v>
      </c>
      <c r="BI7" s="80">
        <f aca="true" t="shared" si="22" ref="BI7:BI22">R7+S7+AL7+AR7+AX7</f>
        <v>693949.4400000001</v>
      </c>
      <c r="BJ7" s="77">
        <f>BA7</f>
        <v>-291416.942297812</v>
      </c>
    </row>
    <row r="8" spans="1:62" s="5" customFormat="1" ht="24" customHeight="1">
      <c r="A8" s="4">
        <v>4</v>
      </c>
      <c r="B8" s="432" t="s">
        <v>137</v>
      </c>
      <c r="C8" s="127">
        <v>387795</v>
      </c>
      <c r="D8" s="33">
        <f>35000+3510</f>
        <v>38510</v>
      </c>
      <c r="E8" s="195">
        <v>119660</v>
      </c>
      <c r="F8" s="165">
        <f t="shared" si="0"/>
        <v>-81150</v>
      </c>
      <c r="G8" s="32">
        <f>(C8+E8)/4</f>
        <v>126863.75</v>
      </c>
      <c r="H8" s="33">
        <f>35062.2-3510</f>
        <v>31552.199999999997</v>
      </c>
      <c r="I8" s="32">
        <f>G8*H25/100</f>
        <v>6769.109787164073</v>
      </c>
      <c r="J8" s="154">
        <f t="shared" si="14"/>
        <v>38321.30978716407</v>
      </c>
      <c r="K8" s="43">
        <v>125865</v>
      </c>
      <c r="L8" s="165">
        <f t="shared" si="15"/>
        <v>-87543.69021283594</v>
      </c>
      <c r="M8" s="202">
        <f>37054.885194+0.11</f>
        <v>37054.995194</v>
      </c>
      <c r="N8" s="257">
        <v>158190</v>
      </c>
      <c r="O8" s="165">
        <f t="shared" si="1"/>
        <v>-121135.004806</v>
      </c>
      <c r="P8" s="32">
        <f t="shared" si="9"/>
        <v>134571.66666666666</v>
      </c>
      <c r="Q8" s="32">
        <f>P8*P27/100</f>
        <v>1071.686681938841</v>
      </c>
      <c r="R8" s="70">
        <f t="shared" si="16"/>
        <v>403715</v>
      </c>
      <c r="S8" s="301">
        <f t="shared" si="10"/>
        <v>556665</v>
      </c>
      <c r="T8" s="261">
        <f>35000-0.11</f>
        <v>34999.89</v>
      </c>
      <c r="U8" s="278">
        <f>Q8+T8+3198.42</f>
        <v>39269.996681938836</v>
      </c>
      <c r="V8" s="281">
        <v>131395</v>
      </c>
      <c r="W8" s="286">
        <f t="shared" si="11"/>
        <v>-92125.00331806116</v>
      </c>
      <c r="X8" s="264">
        <f>(R8+V8)/4</f>
        <v>133777.5</v>
      </c>
      <c r="Y8" s="279">
        <f>X8*X27/100</f>
        <v>-70916.64498612269</v>
      </c>
      <c r="Z8" s="264">
        <f>35000-3198.42</f>
        <v>31801.58</v>
      </c>
      <c r="AA8" s="318">
        <f>Y8+Z8+2668.28</f>
        <v>-36446.784986122686</v>
      </c>
      <c r="AB8" s="322">
        <v>217625</v>
      </c>
      <c r="AC8" s="312">
        <f t="shared" si="18"/>
        <v>-254071.7849861227</v>
      </c>
      <c r="AD8" s="200">
        <f>34832.504532-2668.28+4850.78</f>
        <v>37015.004532</v>
      </c>
      <c r="AE8" s="322">
        <v>207645</v>
      </c>
      <c r="AF8" s="327">
        <f t="shared" si="13"/>
        <v>-170629.995468</v>
      </c>
      <c r="AG8" s="199">
        <f>(R8+S8)/6</f>
        <v>160063.33333333334</v>
      </c>
      <c r="AH8" s="332">
        <f t="shared" si="2"/>
        <v>232086.94</v>
      </c>
      <c r="AI8" s="332">
        <f>60000-4850.78</f>
        <v>55149.22</v>
      </c>
      <c r="AJ8" s="332">
        <f>AG8*AH25/100</f>
        <v>-364638.8129892705</v>
      </c>
      <c r="AK8" s="344">
        <f>AI8+AJ8+1603.03</f>
        <v>-307886.56298927043</v>
      </c>
      <c r="AL8" s="352">
        <v>240214.52</v>
      </c>
      <c r="AM8" s="327">
        <f t="shared" si="3"/>
        <v>-548101.0829892704</v>
      </c>
      <c r="AN8" s="332">
        <f>(R8+S8+AL8)/7</f>
        <v>171513.50285714286</v>
      </c>
      <c r="AO8" s="332">
        <f>AN8*AO25/100</f>
        <v>-494668.29146768636</v>
      </c>
      <c r="AP8" s="332">
        <f>60000-1603.03</f>
        <v>58396.97</v>
      </c>
      <c r="AQ8" s="364">
        <f>AO8+AP8</f>
        <v>-436271.3214676863</v>
      </c>
      <c r="AR8" s="352">
        <v>248266.52</v>
      </c>
      <c r="AS8" s="327">
        <f t="shared" si="4"/>
        <v>-684537.8414676863</v>
      </c>
      <c r="AT8" s="332">
        <f>(R8+S8+AL8+AR8)/8</f>
        <v>181107.63</v>
      </c>
      <c r="AU8" s="332">
        <f>AT8*AW25/100</f>
        <v>-512572.8672997588</v>
      </c>
      <c r="AV8" s="332">
        <v>60000</v>
      </c>
      <c r="AW8" s="364">
        <f t="shared" si="20"/>
        <v>-452572.8672997588</v>
      </c>
      <c r="AX8" s="352">
        <v>272428.16</v>
      </c>
      <c r="AY8" s="327">
        <f t="shared" si="5"/>
        <v>-725001.0272997587</v>
      </c>
      <c r="AZ8" s="199">
        <f>(R8+S8+AL8+AR8+AX8)/9</f>
        <v>191254.35555555555</v>
      </c>
      <c r="BA8" s="199">
        <f>AZ8*BA25/100</f>
        <v>-722837.7264404838</v>
      </c>
      <c r="BB8" s="352">
        <f t="shared" si="6"/>
        <v>760909.2</v>
      </c>
      <c r="BC8" s="332">
        <v>57000</v>
      </c>
      <c r="BD8" s="364">
        <f t="shared" si="21"/>
        <v>-665837.7264404838</v>
      </c>
      <c r="BE8" s="332">
        <v>1000</v>
      </c>
      <c r="BF8" s="332">
        <v>540.75</v>
      </c>
      <c r="BG8" s="368">
        <f t="shared" si="7"/>
        <v>58540.75</v>
      </c>
      <c r="BH8" s="307">
        <f t="shared" si="8"/>
        <v>1779829.95</v>
      </c>
      <c r="BI8" s="80">
        <f t="shared" si="22"/>
        <v>1721289.2</v>
      </c>
      <c r="BJ8" s="77">
        <f>BA8</f>
        <v>-722837.7264404838</v>
      </c>
    </row>
    <row r="9" spans="1:62" s="5" customFormat="1" ht="24" customHeight="1">
      <c r="A9" s="4">
        <v>5</v>
      </c>
      <c r="B9" s="432" t="s">
        <v>138</v>
      </c>
      <c r="C9" s="127">
        <v>151115</v>
      </c>
      <c r="D9" s="33">
        <v>14200</v>
      </c>
      <c r="E9" s="195">
        <v>41205</v>
      </c>
      <c r="F9" s="165">
        <f t="shared" si="0"/>
        <v>-27005</v>
      </c>
      <c r="G9" s="32">
        <f>(C9+E9)/4</f>
        <v>48080</v>
      </c>
      <c r="H9" s="33">
        <v>14148.32</v>
      </c>
      <c r="I9" s="32">
        <f>G9*H25/100</f>
        <v>2565.419976682454</v>
      </c>
      <c r="J9" s="154">
        <f t="shared" si="14"/>
        <v>16713.739976682453</v>
      </c>
      <c r="K9" s="43">
        <v>55650</v>
      </c>
      <c r="L9" s="165">
        <f t="shared" si="15"/>
        <v>-38936.26002331755</v>
      </c>
      <c r="M9" s="202">
        <v>19474.58</v>
      </c>
      <c r="N9" s="257">
        <v>45755</v>
      </c>
      <c r="O9" s="165">
        <f t="shared" si="1"/>
        <v>-26280.42</v>
      </c>
      <c r="P9" s="32">
        <f t="shared" si="9"/>
        <v>47536.666666666664</v>
      </c>
      <c r="Q9" s="32">
        <f>P9*P27/100</f>
        <v>378.56715185538843</v>
      </c>
      <c r="R9" s="70">
        <f t="shared" si="16"/>
        <v>142610</v>
      </c>
      <c r="S9" s="301">
        <f t="shared" si="10"/>
        <v>179756</v>
      </c>
      <c r="T9" s="261">
        <v>18500</v>
      </c>
      <c r="U9" s="278">
        <f t="shared" si="17"/>
        <v>18878.56715185539</v>
      </c>
      <c r="V9" s="281">
        <v>65430</v>
      </c>
      <c r="W9" s="286">
        <f t="shared" si="11"/>
        <v>-46551.432848144614</v>
      </c>
      <c r="X9" s="264">
        <f>(R9+V9)/4</f>
        <v>52010</v>
      </c>
      <c r="Y9" s="279">
        <f>X9*X27/100</f>
        <v>-27570.964517413177</v>
      </c>
      <c r="Z9" s="264">
        <v>18500</v>
      </c>
      <c r="AA9" s="318">
        <f>Y9+Z9+1504.03</f>
        <v>-7566.934517413177</v>
      </c>
      <c r="AB9" s="322">
        <v>74065</v>
      </c>
      <c r="AC9" s="312">
        <f t="shared" si="18"/>
        <v>-81631.93451741317</v>
      </c>
      <c r="AD9" s="200">
        <f>17453.30370246-1504.03</f>
        <v>15949.273702460001</v>
      </c>
      <c r="AE9" s="322">
        <v>40261</v>
      </c>
      <c r="AF9" s="327">
        <f t="shared" si="13"/>
        <v>-24311.72629754</v>
      </c>
      <c r="AG9" s="199">
        <f>(R9+S9)/6</f>
        <v>53727.666666666664</v>
      </c>
      <c r="AH9" s="332">
        <f t="shared" si="2"/>
        <v>106074.47</v>
      </c>
      <c r="AI9" s="332">
        <v>28000</v>
      </c>
      <c r="AJ9" s="332">
        <f>AG9*AH25/100</f>
        <v>-122396.50512099288</v>
      </c>
      <c r="AK9" s="344">
        <f t="shared" si="19"/>
        <v>-94396.50512099288</v>
      </c>
      <c r="AL9" s="352">
        <v>43185.07</v>
      </c>
      <c r="AM9" s="327">
        <f t="shared" si="3"/>
        <v>-137581.57512099287</v>
      </c>
      <c r="AN9" s="332">
        <f>(R9+S9+AL9)/7</f>
        <v>52221.58142857143</v>
      </c>
      <c r="AO9" s="332">
        <f>AO25*AN9/100</f>
        <v>-150614.15009714072</v>
      </c>
      <c r="AP9" s="332">
        <v>28000</v>
      </c>
      <c r="AQ9" s="364">
        <f>AO9+AP9+3126.37</f>
        <v>-119487.78009714073</v>
      </c>
      <c r="AR9" s="352">
        <v>64276.87</v>
      </c>
      <c r="AS9" s="327">
        <f t="shared" si="4"/>
        <v>-183764.65009714072</v>
      </c>
      <c r="AT9" s="332">
        <f>(R8+S8+AL9+AR9)/8</f>
        <v>133480.2425</v>
      </c>
      <c r="AU9" s="332">
        <f>AT9*AW25/100</f>
        <v>-377777.2953358846</v>
      </c>
      <c r="AV9" s="332">
        <f>28000-3126.37</f>
        <v>24873.63</v>
      </c>
      <c r="AW9" s="364">
        <f>AU9+AV9+3008.17</f>
        <v>-349895.4953358846</v>
      </c>
      <c r="AX9" s="352">
        <v>91749.07</v>
      </c>
      <c r="AY9" s="327">
        <f t="shared" si="5"/>
        <v>-441644.56533588463</v>
      </c>
      <c r="AZ9" s="199">
        <f>(R9+S9+AL9+AR9+AX9)/9</f>
        <v>57953.00111111111</v>
      </c>
      <c r="BA9" s="199">
        <f>AZ9*BA25/100</f>
        <v>-219030.91012946892</v>
      </c>
      <c r="BB9" s="352">
        <f t="shared" si="6"/>
        <v>199211.01</v>
      </c>
      <c r="BC9" s="332">
        <f>27000-3008.17</f>
        <v>23991.83</v>
      </c>
      <c r="BD9" s="364">
        <f t="shared" si="21"/>
        <v>-195039.08012946893</v>
      </c>
      <c r="BE9" s="332">
        <v>1000</v>
      </c>
      <c r="BF9" s="332">
        <v>209.01</v>
      </c>
      <c r="BG9" s="368">
        <f t="shared" si="7"/>
        <v>25200.84</v>
      </c>
      <c r="BH9" s="307">
        <f t="shared" si="8"/>
        <v>546777.85</v>
      </c>
      <c r="BI9" s="80">
        <f t="shared" si="22"/>
        <v>521577.01</v>
      </c>
      <c r="BJ9" s="77">
        <f>BA9</f>
        <v>-219030.91012946892</v>
      </c>
    </row>
    <row r="10" spans="1:62" s="5" customFormat="1" ht="26.25" customHeight="1">
      <c r="A10" s="4">
        <v>6</v>
      </c>
      <c r="B10" s="112" t="s">
        <v>6</v>
      </c>
      <c r="C10" s="127">
        <v>161004</v>
      </c>
      <c r="D10" s="33">
        <f>12500+1249</f>
        <v>13749</v>
      </c>
      <c r="E10" s="195">
        <v>13749</v>
      </c>
      <c r="F10" s="202">
        <f t="shared" si="0"/>
        <v>0</v>
      </c>
      <c r="G10" s="32">
        <f>(C10+E10)/13</f>
        <v>13442.538461538461</v>
      </c>
      <c r="H10" s="33">
        <f>12334.88-1249</f>
        <v>11085.88</v>
      </c>
      <c r="I10" s="32">
        <f>G10*H25/100</f>
        <v>717.2578349948625</v>
      </c>
      <c r="J10" s="154">
        <f>H10+I10+363.86</f>
        <v>12166.997834994861</v>
      </c>
      <c r="K10" s="43">
        <f>12167</f>
        <v>12167</v>
      </c>
      <c r="L10" s="202">
        <f t="shared" si="15"/>
        <v>-0.002165005138522247</v>
      </c>
      <c r="M10" s="202">
        <f>13134.80908359-363.86+308.05</f>
        <v>13078.999083589999</v>
      </c>
      <c r="N10" s="257">
        <v>13079</v>
      </c>
      <c r="O10" s="32">
        <f t="shared" si="1"/>
        <v>-0.000916410001082113</v>
      </c>
      <c r="P10" s="32">
        <f t="shared" si="9"/>
        <v>12998.333333333334</v>
      </c>
      <c r="Q10" s="32">
        <f>P10*P27/100</f>
        <v>103.51466297314965</v>
      </c>
      <c r="R10" s="70">
        <f t="shared" si="16"/>
        <v>38995</v>
      </c>
      <c r="S10" s="301">
        <f t="shared" si="10"/>
        <v>37051</v>
      </c>
      <c r="T10" s="261">
        <f>12500-308.05</f>
        <v>12191.95</v>
      </c>
      <c r="U10" s="278">
        <f>Q10+T10+1091.54</f>
        <v>13387.004662973151</v>
      </c>
      <c r="V10" s="281">
        <v>13387</v>
      </c>
      <c r="W10" s="285">
        <f t="shared" si="11"/>
        <v>0.004662973151425831</v>
      </c>
      <c r="X10" s="264">
        <f>(R10+V10)/4</f>
        <v>13095.5</v>
      </c>
      <c r="Y10" s="279">
        <f>X10*X27/100</f>
        <v>-6942.041258176971</v>
      </c>
      <c r="Z10" s="264">
        <f>12500-1091.54</f>
        <v>11408.46</v>
      </c>
      <c r="AA10" s="318">
        <f>Y10+Z10+1081.97</f>
        <v>5548.388741823029</v>
      </c>
      <c r="AB10" s="322">
        <v>13416</v>
      </c>
      <c r="AC10" s="311">
        <f t="shared" si="18"/>
        <v>-7867.611258176971</v>
      </c>
      <c r="AD10" s="200">
        <f>11344.48185546-1081.97</f>
        <v>10262.511855460001</v>
      </c>
      <c r="AE10" s="322">
        <v>10248</v>
      </c>
      <c r="AF10" s="199">
        <f t="shared" si="13"/>
        <v>14.511855460001243</v>
      </c>
      <c r="AG10" s="199">
        <f>(R10+S10)/6</f>
        <v>12674.333333333334</v>
      </c>
      <c r="AH10" s="332">
        <f t="shared" si="2"/>
        <v>72362.31000000001</v>
      </c>
      <c r="AI10" s="332">
        <v>18000</v>
      </c>
      <c r="AJ10" s="332">
        <f>AG10*AH25/100</f>
        <v>-28873.282630398448</v>
      </c>
      <c r="AK10" s="344">
        <f>AI10+AJ10+1063.61</f>
        <v>-9809.672630398447</v>
      </c>
      <c r="AL10" s="352">
        <v>19760.92</v>
      </c>
      <c r="AM10" s="332">
        <f t="shared" si="3"/>
        <v>-29570.592630398445</v>
      </c>
      <c r="AN10" s="332">
        <f>(R10+S10+AL10)/7</f>
        <v>13686.702857142856</v>
      </c>
      <c r="AO10" s="332">
        <f>AO25*AN10/100</f>
        <v>-39474.31429820395</v>
      </c>
      <c r="AP10" s="332">
        <f>18000-1063.61</f>
        <v>16936.39</v>
      </c>
      <c r="AQ10" s="364">
        <f>AO10+AP10+1754.82</f>
        <v>-20783.10429820395</v>
      </c>
      <c r="AR10" s="352">
        <v>19385.33</v>
      </c>
      <c r="AS10" s="332">
        <f t="shared" si="4"/>
        <v>-40168.43429820395</v>
      </c>
      <c r="AT10" s="332">
        <f>(R10+S10+AL10+AR10)/8</f>
        <v>14399.03125</v>
      </c>
      <c r="AU10" s="332">
        <f>AT10*AW25/100</f>
        <v>-40752.301458261754</v>
      </c>
      <c r="AV10" s="332">
        <f>18000-1754.82</f>
        <v>16245.18</v>
      </c>
      <c r="AW10" s="364">
        <f t="shared" si="20"/>
        <v>-24507.121458261754</v>
      </c>
      <c r="AX10" s="352">
        <v>16973.24</v>
      </c>
      <c r="AY10" s="391">
        <f t="shared" si="5"/>
        <v>-41480.36145826176</v>
      </c>
      <c r="AZ10" s="199">
        <f>(R10+S10+AL10+AR10+AX10)/9</f>
        <v>14685.054444444444</v>
      </c>
      <c r="BA10" s="199">
        <f>AZ10*BA25/100</f>
        <v>-55501.54053455544</v>
      </c>
      <c r="BB10" s="352">
        <f t="shared" si="6"/>
        <v>56119.490000000005</v>
      </c>
      <c r="BC10" s="332">
        <v>18000</v>
      </c>
      <c r="BD10" s="364">
        <f t="shared" si="21"/>
        <v>-37501.54053455544</v>
      </c>
      <c r="BE10" s="332">
        <v>3000</v>
      </c>
      <c r="BF10" s="332">
        <v>180.74</v>
      </c>
      <c r="BG10" s="368">
        <f t="shared" si="7"/>
        <v>21180.74</v>
      </c>
      <c r="BH10" s="307">
        <f t="shared" si="8"/>
        <v>153346.22999999998</v>
      </c>
      <c r="BI10" s="80">
        <f t="shared" si="22"/>
        <v>132165.49</v>
      </c>
      <c r="BJ10" s="77">
        <f>BA10-AY10</f>
        <v>-14021.17907629368</v>
      </c>
    </row>
    <row r="11" spans="1:62" s="5" customFormat="1" ht="26.25" customHeight="1" hidden="1">
      <c r="A11" s="4">
        <v>7</v>
      </c>
      <c r="B11" s="112" t="s">
        <v>10</v>
      </c>
      <c r="C11" s="127">
        <v>107875</v>
      </c>
      <c r="D11" s="33">
        <v>7600</v>
      </c>
      <c r="E11" s="195">
        <v>8090</v>
      </c>
      <c r="F11" s="165">
        <f t="shared" si="0"/>
        <v>-490</v>
      </c>
      <c r="G11" s="32">
        <f>(C11+E11)/13</f>
        <v>8920.384615384615</v>
      </c>
      <c r="H11" s="33">
        <v>7512.97</v>
      </c>
      <c r="I11" s="32">
        <f>G11*H25/100</f>
        <v>475.96782221294757</v>
      </c>
      <c r="J11" s="154">
        <f t="shared" si="14"/>
        <v>7988.937822212948</v>
      </c>
      <c r="K11" s="43">
        <v>8090</v>
      </c>
      <c r="L11" s="165">
        <f t="shared" si="15"/>
        <v>-101.06217778705195</v>
      </c>
      <c r="M11" s="202">
        <v>7993.03386375</v>
      </c>
      <c r="N11" s="257">
        <v>8690</v>
      </c>
      <c r="O11" s="165">
        <f t="shared" si="1"/>
        <v>-696.9661362500001</v>
      </c>
      <c r="P11" s="32">
        <f t="shared" si="9"/>
        <v>8290</v>
      </c>
      <c r="Q11" s="32">
        <f>P11*P27/100</f>
        <v>66.0189682816318</v>
      </c>
      <c r="R11" s="70">
        <f t="shared" si="16"/>
        <v>24870</v>
      </c>
      <c r="S11" s="301">
        <f t="shared" si="10"/>
        <v>24115</v>
      </c>
      <c r="T11" s="261">
        <v>7500</v>
      </c>
      <c r="U11" s="278">
        <f t="shared" si="17"/>
        <v>7566.018968281632</v>
      </c>
      <c r="V11" s="281">
        <v>8165</v>
      </c>
      <c r="W11" s="286">
        <f t="shared" si="11"/>
        <v>-598.9810317183683</v>
      </c>
      <c r="X11" s="264">
        <f>(R11+V11)/4</f>
        <v>8258.75</v>
      </c>
      <c r="Y11" s="279">
        <f>X11*X27/100</f>
        <v>-4378.03697766172</v>
      </c>
      <c r="Z11" s="264">
        <v>7500</v>
      </c>
      <c r="AA11" s="318">
        <f t="shared" si="12"/>
        <v>3121.96302233828</v>
      </c>
      <c r="AB11" s="322">
        <v>8495</v>
      </c>
      <c r="AC11" s="312">
        <f t="shared" si="18"/>
        <v>-5373.03697766172</v>
      </c>
      <c r="AD11" s="200">
        <v>7005.656928</v>
      </c>
      <c r="AE11" s="322">
        <v>7455</v>
      </c>
      <c r="AF11" s="327">
        <f t="shared" si="13"/>
        <v>-449.34307199999967</v>
      </c>
      <c r="AG11" s="199"/>
      <c r="AH11" s="332">
        <f t="shared" si="2"/>
        <v>0</v>
      </c>
      <c r="AI11" s="332"/>
      <c r="AJ11" s="332"/>
      <c r="AK11" s="344">
        <f t="shared" si="19"/>
        <v>0</v>
      </c>
      <c r="AL11" s="352">
        <v>0</v>
      </c>
      <c r="AM11" s="332">
        <v>0</v>
      </c>
      <c r="AN11" s="332"/>
      <c r="AO11" s="332"/>
      <c r="AP11" s="332"/>
      <c r="AQ11" s="364"/>
      <c r="AR11" s="352"/>
      <c r="AS11" s="332"/>
      <c r="AT11" s="332"/>
      <c r="AU11" s="332"/>
      <c r="AV11" s="332"/>
      <c r="AW11" s="364">
        <f t="shared" si="20"/>
        <v>0</v>
      </c>
      <c r="AX11" s="352"/>
      <c r="AY11" s="199"/>
      <c r="AZ11" s="199"/>
      <c r="BA11" s="199"/>
      <c r="BB11" s="352">
        <f t="shared" si="6"/>
        <v>0</v>
      </c>
      <c r="BC11" s="332"/>
      <c r="BD11" s="364">
        <f t="shared" si="21"/>
        <v>0</v>
      </c>
      <c r="BE11" s="332"/>
      <c r="BF11" s="332"/>
      <c r="BG11" s="368">
        <f t="shared" si="7"/>
        <v>0</v>
      </c>
      <c r="BH11" s="307">
        <f t="shared" si="8"/>
        <v>48985</v>
      </c>
      <c r="BI11" s="80">
        <f t="shared" si="22"/>
        <v>48985</v>
      </c>
      <c r="BJ11" s="77"/>
    </row>
    <row r="12" spans="1:62" s="5" customFormat="1" ht="26.25" customHeight="1">
      <c r="A12" s="4">
        <v>8</v>
      </c>
      <c r="B12" s="112" t="s">
        <v>139</v>
      </c>
      <c r="C12" s="127"/>
      <c r="D12" s="33"/>
      <c r="E12" s="195"/>
      <c r="F12" s="165"/>
      <c r="G12" s="32"/>
      <c r="H12" s="33"/>
      <c r="I12" s="32"/>
      <c r="J12" s="154"/>
      <c r="K12" s="43"/>
      <c r="L12" s="165"/>
      <c r="M12" s="202"/>
      <c r="N12" s="257"/>
      <c r="O12" s="165"/>
      <c r="P12" s="32"/>
      <c r="Q12" s="32"/>
      <c r="R12" s="70"/>
      <c r="S12" s="301"/>
      <c r="T12" s="311"/>
      <c r="U12" s="278"/>
      <c r="V12" s="333"/>
      <c r="W12" s="312"/>
      <c r="X12" s="311"/>
      <c r="Y12" s="311"/>
      <c r="Z12" s="311"/>
      <c r="AA12" s="318"/>
      <c r="AB12" s="322"/>
      <c r="AC12" s="312"/>
      <c r="AD12" s="200"/>
      <c r="AE12" s="322"/>
      <c r="AF12" s="327"/>
      <c r="AG12" s="199"/>
      <c r="AH12" s="332">
        <f t="shared" si="2"/>
        <v>169684.45</v>
      </c>
      <c r="AI12" s="332">
        <v>45000</v>
      </c>
      <c r="AJ12" s="332"/>
      <c r="AK12" s="344">
        <f t="shared" si="19"/>
        <v>45000</v>
      </c>
      <c r="AL12" s="352">
        <v>239906</v>
      </c>
      <c r="AM12" s="327">
        <f>AK12-AL12</f>
        <v>-194906</v>
      </c>
      <c r="AN12" s="332">
        <f>AL12</f>
        <v>239906</v>
      </c>
      <c r="AO12" s="332">
        <f>AO25*AN12/100</f>
        <v>-691921.5639347807</v>
      </c>
      <c r="AP12" s="332">
        <v>45000</v>
      </c>
      <c r="AQ12" s="364">
        <f>AO12+AP12</f>
        <v>-646921.5639347807</v>
      </c>
      <c r="AR12" s="352">
        <v>178944.76</v>
      </c>
      <c r="AS12" s="327">
        <f>AQ12-AR12</f>
        <v>-825866.3239347807</v>
      </c>
      <c r="AT12" s="332">
        <f>(AL12+AR12)/2</f>
        <v>209425.38</v>
      </c>
      <c r="AU12" s="332">
        <f>AT12*AW25/100</f>
        <v>-592718.0843343904</v>
      </c>
      <c r="AV12" s="332">
        <v>40000</v>
      </c>
      <c r="AW12" s="364">
        <f>AU12+AV12+13349.03</f>
        <v>-539369.0543343903</v>
      </c>
      <c r="AX12" s="352">
        <v>219867.64</v>
      </c>
      <c r="AY12" s="327">
        <f>AW12-AX12</f>
        <v>-759236.6943343903</v>
      </c>
      <c r="AZ12" s="199">
        <f>(AL12+AR12+AX12)/3</f>
        <v>212906.13333333333</v>
      </c>
      <c r="BA12" s="199">
        <f>AZ12*BA25/100</f>
        <v>-804669.7023806985</v>
      </c>
      <c r="BB12" s="352">
        <f t="shared" si="6"/>
        <v>638718.4</v>
      </c>
      <c r="BC12" s="332">
        <f>45000-13349.03</f>
        <v>31650.97</v>
      </c>
      <c r="BD12" s="364">
        <f t="shared" si="21"/>
        <v>-773018.7323806986</v>
      </c>
      <c r="BE12" s="332">
        <v>7500</v>
      </c>
      <c r="BF12" s="332">
        <v>533.48</v>
      </c>
      <c r="BG12" s="368">
        <f t="shared" si="7"/>
        <v>39684.450000000004</v>
      </c>
      <c r="BH12" s="307">
        <f t="shared" si="8"/>
        <v>678402.85</v>
      </c>
      <c r="BI12" s="80">
        <f t="shared" si="22"/>
        <v>638718.4</v>
      </c>
      <c r="BJ12" s="77">
        <f>BA12</f>
        <v>-804669.7023806985</v>
      </c>
    </row>
    <row r="13" spans="1:62" s="5" customFormat="1" ht="26.25" customHeight="1">
      <c r="A13" s="4">
        <v>9</v>
      </c>
      <c r="B13" s="112" t="s">
        <v>140</v>
      </c>
      <c r="C13" s="127"/>
      <c r="D13" s="33"/>
      <c r="E13" s="195"/>
      <c r="F13" s="165"/>
      <c r="G13" s="32"/>
      <c r="H13" s="33"/>
      <c r="I13" s="32"/>
      <c r="J13" s="154"/>
      <c r="K13" s="43"/>
      <c r="L13" s="165"/>
      <c r="M13" s="202"/>
      <c r="N13" s="257"/>
      <c r="O13" s="165"/>
      <c r="P13" s="32"/>
      <c r="Q13" s="32"/>
      <c r="R13" s="70"/>
      <c r="S13" s="301"/>
      <c r="T13" s="311"/>
      <c r="U13" s="278"/>
      <c r="V13" s="333"/>
      <c r="W13" s="312"/>
      <c r="X13" s="311"/>
      <c r="Y13" s="311"/>
      <c r="Z13" s="311"/>
      <c r="AA13" s="318"/>
      <c r="AB13" s="322"/>
      <c r="AC13" s="312"/>
      <c r="AD13" s="200"/>
      <c r="AE13" s="322"/>
      <c r="AF13" s="327"/>
      <c r="AG13" s="199"/>
      <c r="AH13" s="332">
        <f t="shared" si="2"/>
        <v>73072.87</v>
      </c>
      <c r="AI13" s="332">
        <v>18000</v>
      </c>
      <c r="AJ13" s="332"/>
      <c r="AK13" s="344">
        <f t="shared" si="19"/>
        <v>18000</v>
      </c>
      <c r="AL13" s="352">
        <v>33330</v>
      </c>
      <c r="AM13" s="327">
        <f>AK13-AL13</f>
        <v>-15330</v>
      </c>
      <c r="AN13" s="332">
        <f>AL13</f>
        <v>33330</v>
      </c>
      <c r="AO13" s="332">
        <f>AO25*AN13/100</f>
        <v>-96128.25742560104</v>
      </c>
      <c r="AP13" s="332">
        <v>18000</v>
      </c>
      <c r="AQ13" s="364">
        <f>AO13+AP13</f>
        <v>-78128.25742560104</v>
      </c>
      <c r="AR13" s="352">
        <v>35148</v>
      </c>
      <c r="AS13" s="327">
        <f>AQ13-AR13</f>
        <v>-113276.25742560104</v>
      </c>
      <c r="AT13" s="332">
        <f>(R13+S13+AL13+AR13)/2</f>
        <v>34239</v>
      </c>
      <c r="AU13" s="332">
        <f>AT13*AW25/100</f>
        <v>-96903.60590261406</v>
      </c>
      <c r="AV13" s="332">
        <v>18000</v>
      </c>
      <c r="AW13" s="364">
        <f t="shared" si="20"/>
        <v>-78903.60590261406</v>
      </c>
      <c r="AX13" s="352">
        <v>32118</v>
      </c>
      <c r="AY13" s="327">
        <f>AW13-AX13</f>
        <v>-111021.60590261406</v>
      </c>
      <c r="AZ13" s="199">
        <f>(R13+S13+AL13+AR13+AX13)/9</f>
        <v>11177.333333333334</v>
      </c>
      <c r="BA13" s="199">
        <f>AZ13*BA25/100</f>
        <v>-42244.257344440965</v>
      </c>
      <c r="BB13" s="352">
        <f t="shared" si="6"/>
        <v>100596</v>
      </c>
      <c r="BC13" s="332">
        <v>18000</v>
      </c>
      <c r="BD13" s="364">
        <f t="shared" si="21"/>
        <v>-24244.257344440965</v>
      </c>
      <c r="BE13" s="332">
        <v>900</v>
      </c>
      <c r="BF13" s="332">
        <v>172.87</v>
      </c>
      <c r="BG13" s="368">
        <f t="shared" si="7"/>
        <v>19072.87</v>
      </c>
      <c r="BH13" s="307">
        <f t="shared" si="8"/>
        <v>119668.87</v>
      </c>
      <c r="BI13" s="80">
        <f t="shared" si="22"/>
        <v>100596</v>
      </c>
      <c r="BJ13" s="77">
        <f>BA13</f>
        <v>-42244.257344440965</v>
      </c>
    </row>
    <row r="14" spans="1:62" s="5" customFormat="1" ht="20.25" customHeight="1">
      <c r="A14" s="4"/>
      <c r="B14" s="113" t="s">
        <v>1</v>
      </c>
      <c r="C14" s="45">
        <f>SUM(C5:C11)</f>
        <v>3637246</v>
      </c>
      <c r="D14" s="45">
        <f>SUM(D5:D11)</f>
        <v>244349</v>
      </c>
      <c r="E14" s="45">
        <f>SUM(E5:E11)</f>
        <v>412202</v>
      </c>
      <c r="F14" s="45">
        <f>F5</f>
        <v>16732</v>
      </c>
      <c r="G14" s="45">
        <f>SUM(G5:G11)</f>
        <v>342445.98076923075</v>
      </c>
      <c r="H14" s="45">
        <f>SUM(H5:H11)</f>
        <v>232386.03</v>
      </c>
      <c r="I14" s="45">
        <f>SUM(I5:I11)</f>
        <v>18272</v>
      </c>
      <c r="J14" s="45">
        <f>SUM(J5:J11)</f>
        <v>251021.89000000004</v>
      </c>
      <c r="K14" s="45">
        <f>SUM(K5:K11)</f>
        <v>455044</v>
      </c>
      <c r="L14" s="45">
        <f>L5</f>
        <v>10.210000000006403</v>
      </c>
      <c r="M14" s="45">
        <f>SUM(M5:M11)</f>
        <v>257062.08503124</v>
      </c>
      <c r="N14" s="45">
        <f>SUM(N5:N11)</f>
        <v>468011</v>
      </c>
      <c r="O14" s="45">
        <f>O5</f>
        <v>18.01589274998696</v>
      </c>
      <c r="P14" s="45">
        <f aca="true" t="shared" si="23" ref="P14:BB14">SUM(P5:P11)</f>
        <v>349135.6666666666</v>
      </c>
      <c r="Q14" s="45">
        <f t="shared" si="23"/>
        <v>2780.407298389993</v>
      </c>
      <c r="R14" s="45">
        <f t="shared" si="23"/>
        <v>1335257</v>
      </c>
      <c r="S14" s="45">
        <f t="shared" si="23"/>
        <v>1407370</v>
      </c>
      <c r="T14" s="45">
        <f t="shared" si="23"/>
        <v>235191.84000000003</v>
      </c>
      <c r="U14" s="45">
        <f t="shared" si="23"/>
        <v>242262.20729838999</v>
      </c>
      <c r="V14" s="45">
        <f t="shared" si="23"/>
        <v>397739</v>
      </c>
      <c r="W14" s="45">
        <f t="shared" si="23"/>
        <v>-155476.79270161001</v>
      </c>
      <c r="X14" s="45">
        <f t="shared" si="23"/>
        <v>289708</v>
      </c>
      <c r="Y14" s="45">
        <f t="shared" si="23"/>
        <v>-153576.79270161</v>
      </c>
      <c r="Z14" s="45">
        <f t="shared" si="23"/>
        <v>231210.04</v>
      </c>
      <c r="AA14" s="45">
        <f t="shared" si="23"/>
        <v>82887.52729839</v>
      </c>
      <c r="AB14" s="45">
        <f t="shared" si="23"/>
        <v>551432</v>
      </c>
      <c r="AC14" s="45">
        <f t="shared" si="23"/>
        <v>-468544.47270161</v>
      </c>
      <c r="AD14" s="45">
        <f t="shared" si="23"/>
        <v>224615.05296011997</v>
      </c>
      <c r="AE14" s="45">
        <f t="shared" si="23"/>
        <v>458199</v>
      </c>
      <c r="AF14" s="45">
        <f t="shared" si="23"/>
        <v>-233583.94703988003</v>
      </c>
      <c r="AG14" s="45">
        <f t="shared" si="23"/>
        <v>307194.5</v>
      </c>
      <c r="AH14" s="45">
        <f t="shared" si="23"/>
        <v>1480601.56</v>
      </c>
      <c r="AI14" s="45">
        <f t="shared" si="23"/>
        <v>291149.22</v>
      </c>
      <c r="AJ14" s="45">
        <f t="shared" si="23"/>
        <v>-699816.9755940301</v>
      </c>
      <c r="AK14" s="45">
        <f t="shared" si="23"/>
        <v>-406001.1155940301</v>
      </c>
      <c r="AL14" s="45">
        <f t="shared" si="23"/>
        <v>505286.06999999995</v>
      </c>
      <c r="AM14" s="45">
        <f t="shared" si="23"/>
        <v>-911287.1855940301</v>
      </c>
      <c r="AN14" s="45">
        <f t="shared" si="23"/>
        <v>315369.29</v>
      </c>
      <c r="AO14" s="45">
        <f t="shared" si="23"/>
        <v>-909567.9655940301</v>
      </c>
      <c r="AP14" s="45">
        <f t="shared" si="23"/>
        <v>293333.36</v>
      </c>
      <c r="AQ14" s="45">
        <f t="shared" si="23"/>
        <v>-609953.4955940301</v>
      </c>
      <c r="AR14" s="45">
        <f t="shared" si="23"/>
        <v>541382.3999999999</v>
      </c>
      <c r="AS14" s="45">
        <f t="shared" si="23"/>
        <v>-1151335.8955940302</v>
      </c>
      <c r="AT14" s="45">
        <f t="shared" si="23"/>
        <v>406137.59875</v>
      </c>
      <c r="AU14" s="45">
        <f t="shared" si="23"/>
        <v>-1149455.23559403</v>
      </c>
      <c r="AV14" s="45">
        <f t="shared" si="23"/>
        <v>250718.89</v>
      </c>
      <c r="AW14" s="45">
        <f t="shared" si="23"/>
        <v>-895728.1755940301</v>
      </c>
      <c r="AX14" s="45">
        <f t="shared" si="23"/>
        <v>589977.69</v>
      </c>
      <c r="AY14" s="45">
        <f t="shared" si="23"/>
        <v>-1485705.8655940301</v>
      </c>
      <c r="AZ14" s="45">
        <f t="shared" si="23"/>
        <v>392730.36111111107</v>
      </c>
      <c r="BA14" s="45">
        <f t="shared" si="23"/>
        <v>-1484307.7455940302</v>
      </c>
      <c r="BB14" s="45">
        <f t="shared" si="23"/>
        <v>1636646.16</v>
      </c>
      <c r="BC14" s="365">
        <f aca="true" t="shared" si="24" ref="BC14:BI14">SUM(BC5:BC13)</f>
        <v>406642.80000000005</v>
      </c>
      <c r="BD14" s="365">
        <f t="shared" si="24"/>
        <v>-1924578.9053191696</v>
      </c>
      <c r="BE14" s="365">
        <f t="shared" si="24"/>
        <v>211400</v>
      </c>
      <c r="BF14" s="365">
        <f t="shared" si="24"/>
        <v>86114.60999999999</v>
      </c>
      <c r="BG14" s="365">
        <f t="shared" si="24"/>
        <v>704157.4099999999</v>
      </c>
      <c r="BH14" s="365">
        <f t="shared" si="24"/>
        <v>5822744.97</v>
      </c>
      <c r="BI14" s="365">
        <f t="shared" si="24"/>
        <v>5118587.5600000005</v>
      </c>
      <c r="BJ14" s="265">
        <f>SUM(BJ5:BJ13)</f>
        <v>-2289756.383860908</v>
      </c>
    </row>
    <row r="15" spans="1:62" s="5" customFormat="1" ht="22.5" customHeight="1">
      <c r="A15" s="4">
        <v>8</v>
      </c>
      <c r="B15" s="54" t="s">
        <v>19</v>
      </c>
      <c r="C15" s="127">
        <v>14880</v>
      </c>
      <c r="D15" s="24">
        <v>1380</v>
      </c>
      <c r="E15" s="90">
        <v>1380</v>
      </c>
      <c r="F15" s="32">
        <f aca="true" t="shared" si="25" ref="F15:F22">D15-E15</f>
        <v>0</v>
      </c>
      <c r="G15" s="32"/>
      <c r="H15" s="24">
        <v>1293.32</v>
      </c>
      <c r="I15" s="23"/>
      <c r="J15" s="154">
        <f t="shared" si="14"/>
        <v>1293.32</v>
      </c>
      <c r="K15" s="43">
        <v>1260</v>
      </c>
      <c r="L15" s="202">
        <f t="shared" si="15"/>
        <v>33.319999999999936</v>
      </c>
      <c r="M15" s="32">
        <v>1413.8788790099998</v>
      </c>
      <c r="N15" s="256">
        <v>1380</v>
      </c>
      <c r="O15" s="32">
        <f>M15-N15</f>
        <v>33.878879009999764</v>
      </c>
      <c r="P15" s="32"/>
      <c r="Q15" s="32"/>
      <c r="R15" s="70">
        <f t="shared" si="16"/>
        <v>4020</v>
      </c>
      <c r="S15" s="301">
        <f t="shared" si="10"/>
        <v>3900</v>
      </c>
      <c r="T15" s="261">
        <v>1320</v>
      </c>
      <c r="U15" s="277">
        <f t="shared" si="17"/>
        <v>1320</v>
      </c>
      <c r="V15" s="281">
        <v>1320</v>
      </c>
      <c r="W15" s="285">
        <f t="shared" si="11"/>
        <v>0</v>
      </c>
      <c r="X15" s="264"/>
      <c r="Y15" s="279"/>
      <c r="Z15" s="264">
        <v>1320</v>
      </c>
      <c r="AA15" s="318">
        <f t="shared" si="12"/>
        <v>1320</v>
      </c>
      <c r="AB15" s="322">
        <v>1320</v>
      </c>
      <c r="AC15" s="347">
        <f t="shared" si="18"/>
        <v>0</v>
      </c>
      <c r="AD15" s="200">
        <v>1313.3773939399994</v>
      </c>
      <c r="AE15" s="322">
        <v>1260</v>
      </c>
      <c r="AF15" s="348">
        <f>AD15-AE15</f>
        <v>53.377393939999365</v>
      </c>
      <c r="AG15" s="200"/>
      <c r="AH15" s="200">
        <f aca="true" t="shared" si="26" ref="AH15:AH22">AI15+AP15+AV15+BC15+BE15+BF15</f>
        <v>9088.44</v>
      </c>
      <c r="AI15" s="200">
        <v>1550</v>
      </c>
      <c r="AJ15" s="200"/>
      <c r="AK15" s="344">
        <f t="shared" si="19"/>
        <v>1550</v>
      </c>
      <c r="AL15" s="352">
        <v>1549.68</v>
      </c>
      <c r="AM15" s="199">
        <f aca="true" t="shared" si="27" ref="AM15:AM22">AK15-AL15</f>
        <v>0.31999999999993634</v>
      </c>
      <c r="AN15" s="332"/>
      <c r="AO15" s="332"/>
      <c r="AP15" s="200">
        <v>1550</v>
      </c>
      <c r="AQ15" s="363">
        <f aca="true" t="shared" si="28" ref="AQ15:AQ22">AP15</f>
        <v>1550</v>
      </c>
      <c r="AR15" s="348">
        <v>1549.68</v>
      </c>
      <c r="AS15" s="394">
        <f>AQ15-AR15</f>
        <v>0.31999999999993634</v>
      </c>
      <c r="AT15" s="394"/>
      <c r="AU15" s="394"/>
      <c r="AV15" s="200">
        <v>1550</v>
      </c>
      <c r="AW15" s="199">
        <f>AV15</f>
        <v>1550</v>
      </c>
      <c r="AX15" s="352">
        <v>1549.68</v>
      </c>
      <c r="AY15" s="199">
        <f aca="true" t="shared" si="29" ref="AY15:AY22">AW15-AX15</f>
        <v>0.31999999999993634</v>
      </c>
      <c r="AZ15" s="199"/>
      <c r="BA15" s="199"/>
      <c r="BB15" s="352">
        <f aca="true" t="shared" si="30" ref="BB15:BB22">AL15+AR15+AW15</f>
        <v>4649.360000000001</v>
      </c>
      <c r="BC15" s="200">
        <v>1550</v>
      </c>
      <c r="BD15" s="199">
        <f aca="true" t="shared" si="31" ref="BD15:BD22">BC15</f>
        <v>1550</v>
      </c>
      <c r="BE15" s="200">
        <v>1550</v>
      </c>
      <c r="BF15" s="200">
        <v>1338.44</v>
      </c>
      <c r="BG15" s="368">
        <f aca="true" t="shared" si="32" ref="BG15:BG22">BC15+BE15+BF15</f>
        <v>4438.4400000000005</v>
      </c>
      <c r="BH15" s="307">
        <f aca="true" t="shared" si="33" ref="BH15:BH22">R15+S15+BB15+BG15</f>
        <v>17007.800000000003</v>
      </c>
      <c r="BI15" s="80">
        <f t="shared" si="22"/>
        <v>12569.04</v>
      </c>
      <c r="BJ15" s="77">
        <f>-AM15</f>
        <v>-0.31999999999993634</v>
      </c>
    </row>
    <row r="16" spans="1:62" s="27" customFormat="1" ht="21" customHeight="1">
      <c r="A16" s="4">
        <v>9</v>
      </c>
      <c r="B16" s="54" t="s">
        <v>20</v>
      </c>
      <c r="C16" s="127">
        <v>7740</v>
      </c>
      <c r="D16" s="24">
        <v>780</v>
      </c>
      <c r="E16" s="90">
        <v>780</v>
      </c>
      <c r="F16" s="32">
        <f t="shared" si="25"/>
        <v>0</v>
      </c>
      <c r="G16" s="32"/>
      <c r="H16" s="24">
        <v>740.08</v>
      </c>
      <c r="I16" s="23"/>
      <c r="J16" s="154">
        <f t="shared" si="14"/>
        <v>740.08</v>
      </c>
      <c r="K16" s="43">
        <v>720</v>
      </c>
      <c r="L16" s="202">
        <f t="shared" si="15"/>
        <v>20.08000000000004</v>
      </c>
      <c r="M16" s="32">
        <v>803.94891033</v>
      </c>
      <c r="N16" s="256">
        <v>780</v>
      </c>
      <c r="O16" s="32">
        <f aca="true" t="shared" si="34" ref="O16:O22">M16-N16</f>
        <v>23.94891032999999</v>
      </c>
      <c r="P16" s="32"/>
      <c r="Q16" s="32"/>
      <c r="R16" s="70">
        <f t="shared" si="16"/>
        <v>2280</v>
      </c>
      <c r="S16" s="301">
        <f t="shared" si="10"/>
        <v>2220</v>
      </c>
      <c r="T16" s="261">
        <v>780</v>
      </c>
      <c r="U16" s="277">
        <f t="shared" si="17"/>
        <v>780</v>
      </c>
      <c r="V16" s="281">
        <v>780</v>
      </c>
      <c r="W16" s="285">
        <f t="shared" si="11"/>
        <v>0</v>
      </c>
      <c r="X16" s="264"/>
      <c r="Y16" s="279"/>
      <c r="Z16" s="264">
        <v>780</v>
      </c>
      <c r="AA16" s="318">
        <f t="shared" si="12"/>
        <v>780</v>
      </c>
      <c r="AB16" s="322">
        <v>780</v>
      </c>
      <c r="AC16" s="347">
        <f t="shared" si="18"/>
        <v>0</v>
      </c>
      <c r="AD16" s="200">
        <v>687.9389820199999</v>
      </c>
      <c r="AE16" s="322">
        <v>660</v>
      </c>
      <c r="AF16" s="348">
        <f aca="true" t="shared" si="35" ref="AF16:AF22">AD16-AE16</f>
        <v>27.938982019999912</v>
      </c>
      <c r="AG16" s="200"/>
      <c r="AH16" s="200">
        <f t="shared" si="26"/>
        <v>5167.8</v>
      </c>
      <c r="AI16" s="200">
        <v>916</v>
      </c>
      <c r="AJ16" s="200"/>
      <c r="AK16" s="344">
        <f t="shared" si="19"/>
        <v>916</v>
      </c>
      <c r="AL16" s="352">
        <v>774.84</v>
      </c>
      <c r="AM16" s="199">
        <f t="shared" si="27"/>
        <v>141.15999999999997</v>
      </c>
      <c r="AN16" s="332"/>
      <c r="AO16" s="332"/>
      <c r="AP16" s="200">
        <v>916</v>
      </c>
      <c r="AQ16" s="363">
        <f t="shared" si="28"/>
        <v>916</v>
      </c>
      <c r="AR16" s="348">
        <v>915.72</v>
      </c>
      <c r="AS16" s="394">
        <f>AQ16-AR16</f>
        <v>0.2799999999999727</v>
      </c>
      <c r="AT16" s="394"/>
      <c r="AU16" s="394"/>
      <c r="AV16" s="200">
        <v>916</v>
      </c>
      <c r="AW16" s="199">
        <f aca="true" t="shared" si="36" ref="AW16:AW22">AV16</f>
        <v>916</v>
      </c>
      <c r="AX16" s="352">
        <v>845.28</v>
      </c>
      <c r="AY16" s="199">
        <f t="shared" si="29"/>
        <v>70.72000000000003</v>
      </c>
      <c r="AZ16" s="199"/>
      <c r="BA16" s="199"/>
      <c r="BB16" s="352">
        <f t="shared" si="30"/>
        <v>2606.56</v>
      </c>
      <c r="BC16" s="200">
        <v>916</v>
      </c>
      <c r="BD16" s="199">
        <f t="shared" si="31"/>
        <v>916</v>
      </c>
      <c r="BE16" s="200">
        <v>916</v>
      </c>
      <c r="BF16" s="200">
        <v>587.8</v>
      </c>
      <c r="BG16" s="368">
        <f t="shared" si="32"/>
        <v>2419.8</v>
      </c>
      <c r="BH16" s="307">
        <f t="shared" si="33"/>
        <v>9526.36</v>
      </c>
      <c r="BI16" s="80">
        <f t="shared" si="22"/>
        <v>7035.84</v>
      </c>
      <c r="BJ16" s="77">
        <f>-AY16</f>
        <v>-70.72000000000003</v>
      </c>
    </row>
    <row r="17" spans="1:62" s="27" customFormat="1" ht="22.5" customHeight="1">
      <c r="A17" s="4">
        <v>10</v>
      </c>
      <c r="B17" s="54" t="s">
        <v>15</v>
      </c>
      <c r="C17" s="127">
        <v>10260</v>
      </c>
      <c r="D17" s="24">
        <v>960</v>
      </c>
      <c r="E17" s="90">
        <v>960</v>
      </c>
      <c r="F17" s="32">
        <f t="shared" si="25"/>
        <v>0</v>
      </c>
      <c r="G17" s="32"/>
      <c r="H17" s="24">
        <v>925.89</v>
      </c>
      <c r="I17" s="23"/>
      <c r="J17" s="154">
        <f t="shared" si="14"/>
        <v>925.89</v>
      </c>
      <c r="K17" s="43">
        <v>900</v>
      </c>
      <c r="L17" s="202">
        <f t="shared" si="15"/>
        <v>25.889999999999986</v>
      </c>
      <c r="M17" s="32">
        <v>997.42131975</v>
      </c>
      <c r="N17" s="256">
        <v>960</v>
      </c>
      <c r="O17" s="32">
        <f t="shared" si="34"/>
        <v>37.42131974999995</v>
      </c>
      <c r="P17" s="32"/>
      <c r="Q17" s="32"/>
      <c r="R17" s="70">
        <f t="shared" si="16"/>
        <v>2820</v>
      </c>
      <c r="S17" s="301">
        <f t="shared" si="10"/>
        <v>2580</v>
      </c>
      <c r="T17" s="261">
        <v>960</v>
      </c>
      <c r="U17" s="277">
        <f t="shared" si="17"/>
        <v>960</v>
      </c>
      <c r="V17" s="281">
        <v>840</v>
      </c>
      <c r="W17" s="285">
        <f t="shared" si="11"/>
        <v>120</v>
      </c>
      <c r="X17" s="264"/>
      <c r="Y17" s="279"/>
      <c r="Z17" s="264">
        <v>960</v>
      </c>
      <c r="AA17" s="318">
        <f t="shared" si="12"/>
        <v>960</v>
      </c>
      <c r="AB17" s="322">
        <v>900</v>
      </c>
      <c r="AC17" s="347">
        <f t="shared" si="18"/>
        <v>60</v>
      </c>
      <c r="AD17" s="200">
        <v>868.9113815000001</v>
      </c>
      <c r="AE17" s="322">
        <v>840</v>
      </c>
      <c r="AF17" s="348">
        <f t="shared" si="35"/>
        <v>28.91138150000006</v>
      </c>
      <c r="AG17" s="200"/>
      <c r="AH17" s="200">
        <f t="shared" si="26"/>
        <v>6411.4400000000005</v>
      </c>
      <c r="AI17" s="200">
        <v>1128</v>
      </c>
      <c r="AJ17" s="200"/>
      <c r="AK17" s="344">
        <f t="shared" si="19"/>
        <v>1128</v>
      </c>
      <c r="AL17" s="352">
        <v>1127.04</v>
      </c>
      <c r="AM17" s="199">
        <f t="shared" si="27"/>
        <v>0.9600000000000364</v>
      </c>
      <c r="AN17" s="332"/>
      <c r="AO17" s="332"/>
      <c r="AP17" s="200">
        <v>1128</v>
      </c>
      <c r="AQ17" s="363">
        <f t="shared" si="28"/>
        <v>1128</v>
      </c>
      <c r="AR17" s="348">
        <v>1127.04</v>
      </c>
      <c r="AS17" s="394">
        <f aca="true" t="shared" si="37" ref="AS17:AS22">AQ17-AR17</f>
        <v>0.9600000000000364</v>
      </c>
      <c r="AT17" s="394"/>
      <c r="AU17" s="394"/>
      <c r="AV17" s="200">
        <v>1128</v>
      </c>
      <c r="AW17" s="199">
        <f t="shared" si="36"/>
        <v>1128</v>
      </c>
      <c r="AX17" s="352">
        <v>1127.04</v>
      </c>
      <c r="AY17" s="199">
        <f t="shared" si="29"/>
        <v>0.9600000000000364</v>
      </c>
      <c r="AZ17" s="199"/>
      <c r="BA17" s="199"/>
      <c r="BB17" s="352">
        <f t="shared" si="30"/>
        <v>3382.08</v>
      </c>
      <c r="BC17" s="200">
        <v>1128</v>
      </c>
      <c r="BD17" s="199">
        <f t="shared" si="31"/>
        <v>1128</v>
      </c>
      <c r="BE17" s="200">
        <v>1128</v>
      </c>
      <c r="BF17" s="200">
        <v>771.44</v>
      </c>
      <c r="BG17" s="368">
        <f t="shared" si="32"/>
        <v>3027.44</v>
      </c>
      <c r="BH17" s="307">
        <f t="shared" si="33"/>
        <v>11809.52</v>
      </c>
      <c r="BI17" s="80">
        <f t="shared" si="22"/>
        <v>8781.119999999999</v>
      </c>
      <c r="BJ17" s="77">
        <f>-AY17</f>
        <v>-0.9600000000000364</v>
      </c>
    </row>
    <row r="18" spans="1:62" s="27" customFormat="1" ht="22.5" customHeight="1">
      <c r="A18" s="4">
        <v>11</v>
      </c>
      <c r="B18" s="54" t="s">
        <v>18</v>
      </c>
      <c r="C18" s="127">
        <v>7680</v>
      </c>
      <c r="D18" s="24">
        <v>780</v>
      </c>
      <c r="E18" s="90">
        <v>780</v>
      </c>
      <c r="F18" s="32">
        <f t="shared" si="25"/>
        <v>0</v>
      </c>
      <c r="G18" s="32"/>
      <c r="H18" s="24">
        <v>754.55</v>
      </c>
      <c r="I18" s="23"/>
      <c r="J18" s="154">
        <f t="shared" si="14"/>
        <v>754.55</v>
      </c>
      <c r="K18" s="43">
        <v>660</v>
      </c>
      <c r="L18" s="202">
        <f t="shared" si="15"/>
        <v>94.54999999999995</v>
      </c>
      <c r="M18" s="32">
        <v>811.6003615499999</v>
      </c>
      <c r="N18" s="256">
        <v>780</v>
      </c>
      <c r="O18" s="32">
        <f t="shared" si="34"/>
        <v>31.60036154999989</v>
      </c>
      <c r="P18" s="32"/>
      <c r="Q18" s="32"/>
      <c r="R18" s="70">
        <f t="shared" si="16"/>
        <v>2220</v>
      </c>
      <c r="S18" s="301">
        <f t="shared" si="10"/>
        <v>2160</v>
      </c>
      <c r="T18" s="261">
        <v>780</v>
      </c>
      <c r="U18" s="277">
        <f t="shared" si="17"/>
        <v>780</v>
      </c>
      <c r="V18" s="281">
        <v>780</v>
      </c>
      <c r="W18" s="285">
        <f t="shared" si="11"/>
        <v>0</v>
      </c>
      <c r="X18" s="264"/>
      <c r="Y18" s="279"/>
      <c r="Z18" s="264">
        <v>780</v>
      </c>
      <c r="AA18" s="318">
        <f t="shared" si="12"/>
        <v>780</v>
      </c>
      <c r="AB18" s="322">
        <v>360</v>
      </c>
      <c r="AC18" s="347">
        <f t="shared" si="18"/>
        <v>420</v>
      </c>
      <c r="AD18" s="200">
        <f>709.33+AC18</f>
        <v>1129.33</v>
      </c>
      <c r="AE18" s="322">
        <v>1020</v>
      </c>
      <c r="AF18" s="348">
        <f t="shared" si="35"/>
        <v>109.32999999999993</v>
      </c>
      <c r="AG18" s="200"/>
      <c r="AH18" s="200">
        <f t="shared" si="26"/>
        <v>5216.98</v>
      </c>
      <c r="AI18" s="200">
        <v>916</v>
      </c>
      <c r="AJ18" s="200"/>
      <c r="AK18" s="344">
        <f t="shared" si="19"/>
        <v>916</v>
      </c>
      <c r="AL18" s="352">
        <v>915.72</v>
      </c>
      <c r="AM18" s="199">
        <f t="shared" si="27"/>
        <v>0.2799999999999727</v>
      </c>
      <c r="AN18" s="332"/>
      <c r="AO18" s="332"/>
      <c r="AP18" s="200">
        <v>916</v>
      </c>
      <c r="AQ18" s="363">
        <f t="shared" si="28"/>
        <v>916</v>
      </c>
      <c r="AR18" s="348">
        <v>845.28</v>
      </c>
      <c r="AS18" s="394">
        <f t="shared" si="37"/>
        <v>70.72000000000003</v>
      </c>
      <c r="AT18" s="394"/>
      <c r="AU18" s="394"/>
      <c r="AV18" s="200">
        <v>916</v>
      </c>
      <c r="AW18" s="199">
        <f>AV18</f>
        <v>916</v>
      </c>
      <c r="AX18" s="352">
        <v>845.28</v>
      </c>
      <c r="AY18" s="199">
        <f t="shared" si="29"/>
        <v>70.72000000000003</v>
      </c>
      <c r="AZ18" s="199"/>
      <c r="BA18" s="199"/>
      <c r="BB18" s="352">
        <f t="shared" si="30"/>
        <v>2677</v>
      </c>
      <c r="BC18" s="200">
        <v>916</v>
      </c>
      <c r="BD18" s="199">
        <f t="shared" si="31"/>
        <v>916</v>
      </c>
      <c r="BE18" s="200">
        <v>916</v>
      </c>
      <c r="BF18" s="200">
        <v>636.98</v>
      </c>
      <c r="BG18" s="368">
        <f t="shared" si="32"/>
        <v>2468.98</v>
      </c>
      <c r="BH18" s="307">
        <f t="shared" si="33"/>
        <v>9525.98</v>
      </c>
      <c r="BI18" s="80">
        <f t="shared" si="22"/>
        <v>6986.28</v>
      </c>
      <c r="BJ18" s="77">
        <f>-AS18</f>
        <v>-70.72000000000003</v>
      </c>
    </row>
    <row r="19" spans="1:62" s="5" customFormat="1" ht="23.25" customHeight="1">
      <c r="A19" s="4">
        <v>12</v>
      </c>
      <c r="B19" s="54" t="s">
        <v>21</v>
      </c>
      <c r="C19" s="127">
        <v>31035</v>
      </c>
      <c r="D19" s="24">
        <v>2790</v>
      </c>
      <c r="E19" s="90">
        <v>2790</v>
      </c>
      <c r="F19" s="32">
        <f t="shared" si="25"/>
        <v>0</v>
      </c>
      <c r="G19" s="32"/>
      <c r="H19" s="24">
        <v>2790.18</v>
      </c>
      <c r="I19" s="24"/>
      <c r="J19" s="154">
        <f t="shared" si="14"/>
        <v>2790.18</v>
      </c>
      <c r="K19" s="68">
        <v>2790</v>
      </c>
      <c r="L19" s="202">
        <f t="shared" si="15"/>
        <v>0.1799999999998363</v>
      </c>
      <c r="M19" s="32">
        <v>2951.274042</v>
      </c>
      <c r="N19" s="256">
        <v>2940</v>
      </c>
      <c r="O19" s="32">
        <f t="shared" si="34"/>
        <v>11.274042000000009</v>
      </c>
      <c r="P19" s="32"/>
      <c r="Q19" s="32"/>
      <c r="R19" s="70">
        <f t="shared" si="16"/>
        <v>8520</v>
      </c>
      <c r="S19" s="301">
        <f t="shared" si="10"/>
        <v>8130</v>
      </c>
      <c r="T19" s="261">
        <v>2745</v>
      </c>
      <c r="U19" s="277">
        <f t="shared" si="17"/>
        <v>2745</v>
      </c>
      <c r="V19" s="281">
        <v>2685</v>
      </c>
      <c r="W19" s="285">
        <f t="shared" si="11"/>
        <v>60</v>
      </c>
      <c r="X19" s="264"/>
      <c r="Y19" s="279"/>
      <c r="Z19" s="264">
        <v>2745</v>
      </c>
      <c r="AA19" s="318">
        <f t="shared" si="12"/>
        <v>2745</v>
      </c>
      <c r="AB19" s="322">
        <v>2685</v>
      </c>
      <c r="AC19" s="347">
        <f t="shared" si="18"/>
        <v>60</v>
      </c>
      <c r="AD19" s="200">
        <v>2762.1213479999988</v>
      </c>
      <c r="AE19" s="322">
        <v>2760</v>
      </c>
      <c r="AF19" s="348">
        <f t="shared" si="35"/>
        <v>2.1213479999987612</v>
      </c>
      <c r="AG19" s="200"/>
      <c r="AH19" s="200">
        <f t="shared" si="26"/>
        <v>18970.84</v>
      </c>
      <c r="AI19" s="200">
        <v>3180</v>
      </c>
      <c r="AJ19" s="200"/>
      <c r="AK19" s="344">
        <f t="shared" si="19"/>
        <v>3180</v>
      </c>
      <c r="AL19" s="352">
        <v>3174.54</v>
      </c>
      <c r="AM19" s="199">
        <f t="shared" si="27"/>
        <v>5.460000000000036</v>
      </c>
      <c r="AN19" s="332"/>
      <c r="AO19" s="332"/>
      <c r="AP19" s="200">
        <v>3180</v>
      </c>
      <c r="AQ19" s="363">
        <f t="shared" si="28"/>
        <v>3180</v>
      </c>
      <c r="AR19" s="348">
        <v>3174.54</v>
      </c>
      <c r="AS19" s="394">
        <f t="shared" si="37"/>
        <v>5.460000000000036</v>
      </c>
      <c r="AT19" s="394"/>
      <c r="AU19" s="394"/>
      <c r="AV19" s="200">
        <v>3180</v>
      </c>
      <c r="AW19" s="199">
        <f t="shared" si="36"/>
        <v>3180</v>
      </c>
      <c r="AX19" s="352">
        <v>3174.54</v>
      </c>
      <c r="AY19" s="199">
        <f t="shared" si="29"/>
        <v>5.460000000000036</v>
      </c>
      <c r="AZ19" s="199"/>
      <c r="BA19" s="199"/>
      <c r="BB19" s="352">
        <f t="shared" si="30"/>
        <v>9529.08</v>
      </c>
      <c r="BC19" s="200">
        <v>3180</v>
      </c>
      <c r="BD19" s="199">
        <f t="shared" si="31"/>
        <v>3180</v>
      </c>
      <c r="BE19" s="200">
        <v>3180</v>
      </c>
      <c r="BF19" s="200">
        <v>3070.84</v>
      </c>
      <c r="BG19" s="368">
        <f t="shared" si="32"/>
        <v>9430.84</v>
      </c>
      <c r="BH19" s="307">
        <f t="shared" si="33"/>
        <v>35609.92</v>
      </c>
      <c r="BI19" s="80">
        <f t="shared" si="22"/>
        <v>26173.620000000003</v>
      </c>
      <c r="BJ19" s="77">
        <f>-AS19</f>
        <v>-5.460000000000036</v>
      </c>
    </row>
    <row r="20" spans="1:62" s="27" customFormat="1" ht="22.5" customHeight="1">
      <c r="A20" s="4">
        <v>13</v>
      </c>
      <c r="B20" s="54" t="s">
        <v>12</v>
      </c>
      <c r="C20" s="127">
        <v>22600</v>
      </c>
      <c r="D20" s="24">
        <v>2500</v>
      </c>
      <c r="E20" s="90">
        <v>2160</v>
      </c>
      <c r="F20" s="32">
        <f t="shared" si="25"/>
        <v>340</v>
      </c>
      <c r="G20" s="32"/>
      <c r="H20" s="24">
        <v>2356.82</v>
      </c>
      <c r="I20" s="23"/>
      <c r="J20" s="154">
        <f t="shared" si="14"/>
        <v>2356.82</v>
      </c>
      <c r="K20" s="43">
        <v>2350</v>
      </c>
      <c r="L20" s="202">
        <f t="shared" si="15"/>
        <v>6.820000000000164</v>
      </c>
      <c r="M20" s="32">
        <v>2568.701481</v>
      </c>
      <c r="N20" s="256">
        <v>2420</v>
      </c>
      <c r="O20" s="32">
        <f t="shared" si="34"/>
        <v>148.70148100000006</v>
      </c>
      <c r="P20" s="32"/>
      <c r="Q20" s="32"/>
      <c r="R20" s="70">
        <f t="shared" si="16"/>
        <v>6930</v>
      </c>
      <c r="S20" s="301">
        <f t="shared" si="10"/>
        <v>6360</v>
      </c>
      <c r="T20" s="261">
        <v>2400</v>
      </c>
      <c r="U20" s="277">
        <f t="shared" si="17"/>
        <v>2400</v>
      </c>
      <c r="V20" s="281">
        <v>1660</v>
      </c>
      <c r="W20" s="285">
        <f t="shared" si="11"/>
        <v>740</v>
      </c>
      <c r="X20" s="264"/>
      <c r="Y20" s="279"/>
      <c r="Z20" s="264">
        <v>2400</v>
      </c>
      <c r="AA20" s="318">
        <f t="shared" si="12"/>
        <v>2400</v>
      </c>
      <c r="AB20" s="322">
        <v>2380</v>
      </c>
      <c r="AC20" s="347">
        <f t="shared" si="18"/>
        <v>20</v>
      </c>
      <c r="AD20" s="200">
        <v>2382.401914</v>
      </c>
      <c r="AE20" s="322">
        <v>2320</v>
      </c>
      <c r="AF20" s="348">
        <f t="shared" si="35"/>
        <v>62.40191400000003</v>
      </c>
      <c r="AG20" s="200"/>
      <c r="AH20" s="200">
        <f t="shared" si="26"/>
        <v>16511.66</v>
      </c>
      <c r="AI20" s="200">
        <v>2800</v>
      </c>
      <c r="AJ20" s="200"/>
      <c r="AK20" s="344">
        <f t="shared" si="19"/>
        <v>2800</v>
      </c>
      <c r="AL20" s="352">
        <v>2643.68</v>
      </c>
      <c r="AM20" s="199">
        <f t="shared" si="27"/>
        <v>156.32000000000016</v>
      </c>
      <c r="AN20" s="332"/>
      <c r="AO20" s="332"/>
      <c r="AP20" s="200">
        <v>2800</v>
      </c>
      <c r="AQ20" s="363">
        <f t="shared" si="28"/>
        <v>2800</v>
      </c>
      <c r="AR20" s="348">
        <v>2274.96</v>
      </c>
      <c r="AS20" s="394">
        <f t="shared" si="37"/>
        <v>525.04</v>
      </c>
      <c r="AT20" s="394"/>
      <c r="AU20" s="394"/>
      <c r="AV20" s="200">
        <v>2800</v>
      </c>
      <c r="AW20" s="199">
        <f t="shared" si="36"/>
        <v>2800</v>
      </c>
      <c r="AX20" s="352">
        <v>2768.04</v>
      </c>
      <c r="AY20" s="199">
        <f t="shared" si="29"/>
        <v>31.960000000000036</v>
      </c>
      <c r="AZ20" s="199"/>
      <c r="BA20" s="199"/>
      <c r="BB20" s="352">
        <f t="shared" si="30"/>
        <v>7718.639999999999</v>
      </c>
      <c r="BC20" s="200">
        <v>2800</v>
      </c>
      <c r="BD20" s="199">
        <f t="shared" si="31"/>
        <v>2800</v>
      </c>
      <c r="BE20" s="200">
        <v>2800</v>
      </c>
      <c r="BF20" s="200">
        <v>2511.66</v>
      </c>
      <c r="BG20" s="368">
        <f t="shared" si="32"/>
        <v>8111.66</v>
      </c>
      <c r="BH20" s="307">
        <f t="shared" si="33"/>
        <v>29120.3</v>
      </c>
      <c r="BI20" s="80">
        <f t="shared" si="22"/>
        <v>20976.68</v>
      </c>
      <c r="BJ20" s="77">
        <f>-AY20</f>
        <v>-31.960000000000036</v>
      </c>
    </row>
    <row r="21" spans="1:62" s="5" customFormat="1" ht="22.5" customHeight="1">
      <c r="A21" s="4">
        <v>14</v>
      </c>
      <c r="B21" s="54" t="s">
        <v>22</v>
      </c>
      <c r="C21" s="127">
        <v>6000</v>
      </c>
      <c r="D21" s="24">
        <v>1500</v>
      </c>
      <c r="E21" s="90">
        <v>300</v>
      </c>
      <c r="F21" s="32">
        <f t="shared" si="25"/>
        <v>1200</v>
      </c>
      <c r="G21" s="32"/>
      <c r="H21" s="24">
        <v>1496.76</v>
      </c>
      <c r="I21" s="23"/>
      <c r="J21" s="154">
        <f t="shared" si="14"/>
        <v>1496.76</v>
      </c>
      <c r="K21" s="43">
        <v>420</v>
      </c>
      <c r="L21" s="202">
        <f t="shared" si="15"/>
        <v>1076.76</v>
      </c>
      <c r="M21" s="32">
        <v>1584.9434669999998</v>
      </c>
      <c r="N21" s="256">
        <v>390</v>
      </c>
      <c r="O21" s="32">
        <f t="shared" si="34"/>
        <v>1194.9434669999998</v>
      </c>
      <c r="P21" s="32"/>
      <c r="Q21" s="32"/>
      <c r="R21" s="70">
        <f t="shared" si="16"/>
        <v>1110</v>
      </c>
      <c r="S21" s="301">
        <f t="shared" si="10"/>
        <v>1710</v>
      </c>
      <c r="T21" s="261">
        <v>1500</v>
      </c>
      <c r="U21" s="277">
        <f t="shared" si="17"/>
        <v>1500</v>
      </c>
      <c r="V21" s="281">
        <v>630</v>
      </c>
      <c r="W21" s="285">
        <f t="shared" si="11"/>
        <v>870</v>
      </c>
      <c r="X21" s="264"/>
      <c r="Y21" s="279"/>
      <c r="Z21" s="264">
        <v>1500</v>
      </c>
      <c r="AA21" s="318">
        <f t="shared" si="12"/>
        <v>1500</v>
      </c>
      <c r="AB21" s="322">
        <v>540</v>
      </c>
      <c r="AC21" s="347">
        <f t="shared" si="18"/>
        <v>960</v>
      </c>
      <c r="AD21" s="200">
        <v>1431.6947979999995</v>
      </c>
      <c r="AE21" s="322">
        <v>540</v>
      </c>
      <c r="AF21" s="348">
        <f t="shared" si="35"/>
        <v>891.6947979999995</v>
      </c>
      <c r="AG21" s="200"/>
      <c r="AH21" s="200">
        <f t="shared" si="26"/>
        <v>10188.04</v>
      </c>
      <c r="AI21" s="200">
        <v>1900</v>
      </c>
      <c r="AJ21" s="200"/>
      <c r="AK21" s="344">
        <f t="shared" si="19"/>
        <v>1900</v>
      </c>
      <c r="AL21" s="352">
        <v>485.28</v>
      </c>
      <c r="AM21" s="199">
        <f t="shared" si="27"/>
        <v>1414.72</v>
      </c>
      <c r="AN21" s="332"/>
      <c r="AO21" s="332"/>
      <c r="AP21" s="200">
        <v>1900</v>
      </c>
      <c r="AQ21" s="363">
        <f t="shared" si="28"/>
        <v>1900</v>
      </c>
      <c r="AR21" s="348">
        <v>647.04</v>
      </c>
      <c r="AS21" s="394">
        <f t="shared" si="37"/>
        <v>1252.96</v>
      </c>
      <c r="AT21" s="394"/>
      <c r="AU21" s="394"/>
      <c r="AV21" s="200">
        <v>1900</v>
      </c>
      <c r="AW21" s="199">
        <f t="shared" si="36"/>
        <v>1900</v>
      </c>
      <c r="AX21" s="352">
        <v>687.48</v>
      </c>
      <c r="AY21" s="199">
        <f t="shared" si="29"/>
        <v>1212.52</v>
      </c>
      <c r="AZ21" s="199"/>
      <c r="BA21" s="199"/>
      <c r="BB21" s="352">
        <f t="shared" si="30"/>
        <v>3032.3199999999997</v>
      </c>
      <c r="BC21" s="200">
        <v>1900</v>
      </c>
      <c r="BD21" s="199">
        <f t="shared" si="31"/>
        <v>1900</v>
      </c>
      <c r="BE21" s="200">
        <v>1900</v>
      </c>
      <c r="BF21" s="200">
        <v>688.04</v>
      </c>
      <c r="BG21" s="368">
        <f t="shared" si="32"/>
        <v>4488.04</v>
      </c>
      <c r="BH21" s="307">
        <f t="shared" si="33"/>
        <v>10340.36</v>
      </c>
      <c r="BI21" s="80">
        <f t="shared" si="22"/>
        <v>4639.799999999999</v>
      </c>
      <c r="BJ21" s="77">
        <f>-AY21</f>
        <v>-1212.52</v>
      </c>
    </row>
    <row r="22" spans="1:62" s="5" customFormat="1" ht="22.5" customHeight="1" thickBot="1">
      <c r="A22" s="4">
        <v>15</v>
      </c>
      <c r="B22" s="54" t="s">
        <v>23</v>
      </c>
      <c r="C22" s="127">
        <v>98965</v>
      </c>
      <c r="D22" s="30">
        <v>11100</v>
      </c>
      <c r="E22" s="91">
        <v>11100</v>
      </c>
      <c r="F22" s="32">
        <f t="shared" si="25"/>
        <v>0</v>
      </c>
      <c r="G22" s="57"/>
      <c r="H22" s="30">
        <v>11117.37</v>
      </c>
      <c r="I22" s="52"/>
      <c r="J22" s="154">
        <f t="shared" si="14"/>
        <v>11117.37</v>
      </c>
      <c r="K22" s="44">
        <v>11110</v>
      </c>
      <c r="L22" s="202">
        <f t="shared" si="15"/>
        <v>7.3700000000008</v>
      </c>
      <c r="M22" s="57">
        <v>11750.442944999999</v>
      </c>
      <c r="N22" s="258">
        <v>11745</v>
      </c>
      <c r="O22" s="32">
        <f t="shared" si="34"/>
        <v>5.442944999998872</v>
      </c>
      <c r="P22" s="57"/>
      <c r="Q22" s="57"/>
      <c r="R22" s="70">
        <f t="shared" si="16"/>
        <v>33955</v>
      </c>
      <c r="S22" s="301">
        <f t="shared" si="10"/>
        <v>32710</v>
      </c>
      <c r="T22" s="261">
        <v>11000</v>
      </c>
      <c r="U22" s="277">
        <f t="shared" si="17"/>
        <v>11000</v>
      </c>
      <c r="V22" s="282">
        <v>10890</v>
      </c>
      <c r="W22" s="285">
        <f t="shared" si="11"/>
        <v>110</v>
      </c>
      <c r="X22" s="283"/>
      <c r="Y22" s="280"/>
      <c r="Z22" s="264">
        <v>11000</v>
      </c>
      <c r="AA22" s="318">
        <f t="shared" si="12"/>
        <v>11000</v>
      </c>
      <c r="AB22" s="322">
        <v>10985</v>
      </c>
      <c r="AC22" s="347">
        <f t="shared" si="18"/>
        <v>15</v>
      </c>
      <c r="AD22" s="200">
        <v>10855.66833</v>
      </c>
      <c r="AE22" s="322">
        <v>10835</v>
      </c>
      <c r="AF22" s="348">
        <f t="shared" si="35"/>
        <v>20.668330000000424</v>
      </c>
      <c r="AG22" s="200"/>
      <c r="AH22" s="200">
        <f t="shared" si="26"/>
        <v>58430.19</v>
      </c>
      <c r="AI22" s="200">
        <v>11000</v>
      </c>
      <c r="AJ22" s="200"/>
      <c r="AK22" s="344">
        <f t="shared" si="19"/>
        <v>11000</v>
      </c>
      <c r="AL22" s="352">
        <v>10985.56</v>
      </c>
      <c r="AM22" s="199">
        <f t="shared" si="27"/>
        <v>14.44000000000051</v>
      </c>
      <c r="AN22" s="332"/>
      <c r="AO22" s="332"/>
      <c r="AP22" s="200">
        <v>11000</v>
      </c>
      <c r="AQ22" s="363">
        <f t="shared" si="28"/>
        <v>11000</v>
      </c>
      <c r="AR22" s="348">
        <v>10989.52</v>
      </c>
      <c r="AS22" s="394">
        <f t="shared" si="37"/>
        <v>10.479999999999563</v>
      </c>
      <c r="AT22" s="394"/>
      <c r="AU22" s="394"/>
      <c r="AV22" s="200">
        <v>11000</v>
      </c>
      <c r="AW22" s="199">
        <f t="shared" si="36"/>
        <v>11000</v>
      </c>
      <c r="AX22" s="352">
        <v>10994.54</v>
      </c>
      <c r="AY22" s="199">
        <f t="shared" si="29"/>
        <v>5.459999999999127</v>
      </c>
      <c r="AZ22" s="199"/>
      <c r="BA22" s="199"/>
      <c r="BB22" s="352">
        <f t="shared" si="30"/>
        <v>32975.08</v>
      </c>
      <c r="BC22" s="200">
        <v>11000</v>
      </c>
      <c r="BD22" s="199">
        <f t="shared" si="31"/>
        <v>11000</v>
      </c>
      <c r="BE22" s="200">
        <v>10000</v>
      </c>
      <c r="BF22" s="200">
        <v>4430.19</v>
      </c>
      <c r="BG22" s="368">
        <f t="shared" si="32"/>
        <v>25430.19</v>
      </c>
      <c r="BH22" s="307">
        <f t="shared" si="33"/>
        <v>125070.27</v>
      </c>
      <c r="BI22" s="80">
        <f t="shared" si="22"/>
        <v>99634.62</v>
      </c>
      <c r="BJ22" s="77">
        <f>-AY22</f>
        <v>-5.459999999999127</v>
      </c>
    </row>
    <row r="23" spans="1:62" s="10" customFormat="1" ht="23.25" customHeight="1">
      <c r="A23" s="58"/>
      <c r="B23" s="114" t="s">
        <v>11</v>
      </c>
      <c r="C23" s="46">
        <f aca="true" t="shared" si="38" ref="C23:AB23">SUM(C15:C22)</f>
        <v>199160</v>
      </c>
      <c r="D23" s="46">
        <f t="shared" si="38"/>
        <v>21790</v>
      </c>
      <c r="E23" s="46">
        <f t="shared" si="38"/>
        <v>20250</v>
      </c>
      <c r="F23" s="46">
        <f t="shared" si="38"/>
        <v>1540</v>
      </c>
      <c r="G23" s="46">
        <f t="shared" si="38"/>
        <v>0</v>
      </c>
      <c r="H23" s="46">
        <f t="shared" si="38"/>
        <v>21474.97</v>
      </c>
      <c r="I23" s="46">
        <f t="shared" si="38"/>
        <v>0</v>
      </c>
      <c r="J23" s="46">
        <f t="shared" si="38"/>
        <v>21474.97</v>
      </c>
      <c r="K23" s="46">
        <f t="shared" si="38"/>
        <v>20210</v>
      </c>
      <c r="L23" s="46">
        <f t="shared" si="38"/>
        <v>1264.9700000000007</v>
      </c>
      <c r="M23" s="46">
        <f t="shared" si="38"/>
        <v>22882.211405639995</v>
      </c>
      <c r="N23" s="46">
        <f t="shared" si="38"/>
        <v>21395</v>
      </c>
      <c r="O23" s="46">
        <f t="shared" si="38"/>
        <v>1487.2114056399982</v>
      </c>
      <c r="P23" s="46">
        <f t="shared" si="38"/>
        <v>0</v>
      </c>
      <c r="Q23" s="46">
        <f t="shared" si="38"/>
        <v>0</v>
      </c>
      <c r="R23" s="46">
        <f t="shared" si="38"/>
        <v>61855</v>
      </c>
      <c r="S23" s="46">
        <f t="shared" si="38"/>
        <v>59770</v>
      </c>
      <c r="T23" s="262">
        <f t="shared" si="38"/>
        <v>21485</v>
      </c>
      <c r="U23" s="46">
        <f t="shared" si="38"/>
        <v>21485</v>
      </c>
      <c r="V23" s="46">
        <f t="shared" si="38"/>
        <v>19585</v>
      </c>
      <c r="W23" s="284">
        <f t="shared" si="38"/>
        <v>1900</v>
      </c>
      <c r="X23" s="46">
        <f t="shared" si="38"/>
        <v>0</v>
      </c>
      <c r="Y23" s="46">
        <f t="shared" si="38"/>
        <v>0</v>
      </c>
      <c r="Z23" s="266">
        <f t="shared" si="38"/>
        <v>21485</v>
      </c>
      <c r="AA23" s="297">
        <f t="shared" si="38"/>
        <v>21485</v>
      </c>
      <c r="AB23" s="46">
        <f t="shared" si="38"/>
        <v>19950</v>
      </c>
      <c r="AC23" s="297">
        <f>SUM(AC15:AC22)-AC18</f>
        <v>1115</v>
      </c>
      <c r="AD23" s="46">
        <f>SUM(AD15:AD22)</f>
        <v>21431.44414746</v>
      </c>
      <c r="AE23" s="46">
        <f>SUM(AE15:AE22)</f>
        <v>20235</v>
      </c>
      <c r="AF23" s="46">
        <f>SUM(AF15:AF22)</f>
        <v>1196.444147459998</v>
      </c>
      <c r="AG23" s="339"/>
      <c r="AH23" s="46">
        <f>AH15+AH16+AH17+AH18+AH19+AH20+AH21+AH22</f>
        <v>129985.39000000001</v>
      </c>
      <c r="AI23" s="46">
        <f>AI15+AI16+AI17+AI18+AI19+AI20+AI21+AI22</f>
        <v>23390</v>
      </c>
      <c r="AJ23" s="46"/>
      <c r="AK23" s="46">
        <f aca="true" t="shared" si="39" ref="AK23:AP23">SUM(AK15:AK22)</f>
        <v>23390</v>
      </c>
      <c r="AL23" s="46">
        <f t="shared" si="39"/>
        <v>21656.34</v>
      </c>
      <c r="AM23" s="46">
        <f>SUM(AM15:AM22)-AM22</f>
        <v>1719.2200000000003</v>
      </c>
      <c r="AN23" s="46">
        <f t="shared" si="39"/>
        <v>0</v>
      </c>
      <c r="AO23" s="46">
        <f t="shared" si="39"/>
        <v>0</v>
      </c>
      <c r="AP23" s="46">
        <f t="shared" si="39"/>
        <v>23390</v>
      </c>
      <c r="AQ23" s="46">
        <f>AQ15+AQ16+AQ17+AQ18+AQ19+AQ20+AQ21+AQ22</f>
        <v>23390</v>
      </c>
      <c r="AR23" s="46">
        <f>AR15+AR16+AR17+AR18+AR19+AR20+AR21+AR22</f>
        <v>21523.780000000002</v>
      </c>
      <c r="AS23" s="46">
        <f>AS15+AS16+AS17+AS18+AS19+AS20+AS21+AS22</f>
        <v>1866.2199999999996</v>
      </c>
      <c r="AT23" s="46"/>
      <c r="AU23" s="46"/>
      <c r="AV23" s="46">
        <f aca="true" t="shared" si="40" ref="AV23:BG23">SUM(AV15:AV22)</f>
        <v>23390</v>
      </c>
      <c r="AW23" s="46">
        <f t="shared" si="40"/>
        <v>23390</v>
      </c>
      <c r="AX23" s="46">
        <f t="shared" si="40"/>
        <v>21991.88</v>
      </c>
      <c r="AY23" s="46">
        <f t="shared" si="40"/>
        <v>1398.1199999999992</v>
      </c>
      <c r="AZ23" s="46"/>
      <c r="BA23" s="46"/>
      <c r="BB23" s="46">
        <f t="shared" si="40"/>
        <v>66570.12</v>
      </c>
      <c r="BC23" s="46">
        <f t="shared" si="40"/>
        <v>23390</v>
      </c>
      <c r="BD23" s="46">
        <f t="shared" si="40"/>
        <v>23390</v>
      </c>
      <c r="BE23" s="46">
        <f t="shared" si="40"/>
        <v>22390</v>
      </c>
      <c r="BF23" s="46">
        <f t="shared" si="40"/>
        <v>14035.39</v>
      </c>
      <c r="BG23" s="46">
        <f t="shared" si="40"/>
        <v>59815.39</v>
      </c>
      <c r="BH23" s="46">
        <f>SUM(BH15:BH22)</f>
        <v>248010.51</v>
      </c>
      <c r="BI23" s="284">
        <f>SUM(BI15:BI22)</f>
        <v>186797</v>
      </c>
      <c r="BJ23" s="266">
        <f>SUM(BJ15:BJ22)</f>
        <v>-1398.1199999999992</v>
      </c>
    </row>
    <row r="24" spans="1:62" s="10" customFormat="1" ht="20.25" customHeight="1" thickBot="1">
      <c r="A24" s="59"/>
      <c r="B24" s="115" t="s">
        <v>37</v>
      </c>
      <c r="C24" s="47">
        <f>C14+C23</f>
        <v>3836406</v>
      </c>
      <c r="D24" s="47">
        <f aca="true" t="shared" si="41" ref="D24:BJ24">D14+D23</f>
        <v>266139</v>
      </c>
      <c r="E24" s="47">
        <f t="shared" si="41"/>
        <v>432452</v>
      </c>
      <c r="F24" s="224">
        <f t="shared" si="41"/>
        <v>18272</v>
      </c>
      <c r="G24" s="47">
        <f t="shared" si="41"/>
        <v>342445.98076923075</v>
      </c>
      <c r="H24" s="47">
        <f t="shared" si="41"/>
        <v>253861</v>
      </c>
      <c r="I24" s="224">
        <f t="shared" si="41"/>
        <v>18272</v>
      </c>
      <c r="J24" s="47">
        <f t="shared" si="41"/>
        <v>272496.86000000004</v>
      </c>
      <c r="K24" s="47">
        <f t="shared" si="41"/>
        <v>475254</v>
      </c>
      <c r="L24" s="230">
        <f t="shared" si="41"/>
        <v>1275.180000000007</v>
      </c>
      <c r="M24" s="47">
        <f t="shared" si="41"/>
        <v>279944.29643688</v>
      </c>
      <c r="N24" s="47">
        <f t="shared" si="41"/>
        <v>489406</v>
      </c>
      <c r="O24" s="252">
        <f t="shared" si="41"/>
        <v>1505.2272983899852</v>
      </c>
      <c r="P24" s="47">
        <f t="shared" si="41"/>
        <v>349135.6666666666</v>
      </c>
      <c r="Q24" s="230">
        <f t="shared" si="41"/>
        <v>2780.407298389993</v>
      </c>
      <c r="R24" s="47">
        <f t="shared" si="41"/>
        <v>1397112</v>
      </c>
      <c r="S24" s="47">
        <f t="shared" si="41"/>
        <v>1467140</v>
      </c>
      <c r="T24" s="263">
        <f t="shared" si="41"/>
        <v>256676.84000000003</v>
      </c>
      <c r="U24" s="47">
        <f t="shared" si="41"/>
        <v>263747.20729839</v>
      </c>
      <c r="V24" s="47">
        <f t="shared" si="41"/>
        <v>417324</v>
      </c>
      <c r="W24" s="224">
        <f t="shared" si="41"/>
        <v>-153576.79270161001</v>
      </c>
      <c r="X24" s="47">
        <f t="shared" si="41"/>
        <v>289708</v>
      </c>
      <c r="Y24" s="290">
        <f t="shared" si="41"/>
        <v>-153576.79270161</v>
      </c>
      <c r="Z24" s="267">
        <f t="shared" si="41"/>
        <v>252695.04</v>
      </c>
      <c r="AA24" s="298">
        <f t="shared" si="41"/>
        <v>104372.52729839</v>
      </c>
      <c r="AB24" s="47">
        <f t="shared" si="41"/>
        <v>571382</v>
      </c>
      <c r="AC24" s="313">
        <f t="shared" si="41"/>
        <v>-467429.47270161</v>
      </c>
      <c r="AD24" s="47">
        <f t="shared" si="41"/>
        <v>246046.49710757995</v>
      </c>
      <c r="AE24" s="47">
        <f t="shared" si="41"/>
        <v>478434</v>
      </c>
      <c r="AF24" s="230">
        <f t="shared" si="41"/>
        <v>-232387.50289242005</v>
      </c>
      <c r="AG24" s="340"/>
      <c r="AH24" s="47">
        <f t="shared" si="41"/>
        <v>1610586.9500000002</v>
      </c>
      <c r="AI24" s="47">
        <f t="shared" si="41"/>
        <v>314539.22</v>
      </c>
      <c r="AJ24" s="47"/>
      <c r="AK24" s="47">
        <f>AK14+AK23</f>
        <v>-382611.1155940301</v>
      </c>
      <c r="AL24" s="47">
        <f>AL14+AL23</f>
        <v>526942.4099999999</v>
      </c>
      <c r="AM24" s="230">
        <f>AM14+AM23</f>
        <v>-909567.9655940301</v>
      </c>
      <c r="AN24" s="47">
        <f>AN14+AN23</f>
        <v>315369.29</v>
      </c>
      <c r="AO24" s="230">
        <f>AO14+AO23</f>
        <v>-909567.9655940301</v>
      </c>
      <c r="AP24" s="47">
        <f t="shared" si="41"/>
        <v>316723.36</v>
      </c>
      <c r="AQ24" s="47">
        <f>AQ14+AQ23</f>
        <v>-586563.4955940301</v>
      </c>
      <c r="AR24" s="47">
        <f>AR14+AR23</f>
        <v>562906.1799999999</v>
      </c>
      <c r="AS24" s="230">
        <f>AS14+AS23</f>
        <v>-1149469.6755940302</v>
      </c>
      <c r="AT24" s="399">
        <f>AT14+AT23</f>
        <v>406137.59875</v>
      </c>
      <c r="AU24" s="230">
        <f>AU14+AU23</f>
        <v>-1149455.23559403</v>
      </c>
      <c r="AV24" s="366">
        <f t="shared" si="41"/>
        <v>274108.89</v>
      </c>
      <c r="AW24" s="366">
        <f>AW14+AW23</f>
        <v>-872338.1755940301</v>
      </c>
      <c r="AX24" s="366">
        <f>AX14+AX23</f>
        <v>611969.57</v>
      </c>
      <c r="AY24" s="403">
        <f>AY14+AY23</f>
        <v>-1484307.74559403</v>
      </c>
      <c r="AZ24" s="366">
        <f>AZ14+AZ23</f>
        <v>392730.36111111107</v>
      </c>
      <c r="BA24" s="403">
        <f>BA14+BA23</f>
        <v>-1484307.7455940302</v>
      </c>
      <c r="BB24" s="366">
        <f t="shared" si="41"/>
        <v>1703216.2799999998</v>
      </c>
      <c r="BC24" s="366">
        <f>BC14+BC23</f>
        <v>430032.80000000005</v>
      </c>
      <c r="BD24" s="366">
        <f>BD14+BD23</f>
        <v>-1901188.9053191696</v>
      </c>
      <c r="BE24" s="366">
        <f>BE14+BE23</f>
        <v>233790</v>
      </c>
      <c r="BF24" s="366">
        <f>BF14+BF23</f>
        <v>100149.99999999999</v>
      </c>
      <c r="BG24" s="366">
        <f>BG14+BG23</f>
        <v>763972.7999999999</v>
      </c>
      <c r="BH24" s="366">
        <f t="shared" si="41"/>
        <v>6070755.4799999995</v>
      </c>
      <c r="BI24" s="47">
        <f t="shared" si="41"/>
        <v>5305384.5600000005</v>
      </c>
      <c r="BJ24" s="267">
        <f t="shared" si="41"/>
        <v>-2291154.503860908</v>
      </c>
    </row>
    <row r="25" spans="1:107" s="69" customFormat="1" ht="34.5" customHeight="1" thickBot="1">
      <c r="A25" s="16"/>
      <c r="B25" s="17"/>
      <c r="C25" s="153" t="s">
        <v>34</v>
      </c>
      <c r="D25" s="152"/>
      <c r="E25" s="161">
        <f>-(F6+F7+F8+F9+F11)</f>
        <v>184585</v>
      </c>
      <c r="F25" s="122"/>
      <c r="G25" s="119" t="s">
        <v>31</v>
      </c>
      <c r="H25" s="123">
        <f>F24*100/G24</f>
        <v>5.335732064647367</v>
      </c>
      <c r="I25" s="22"/>
      <c r="J25" s="204" t="s">
        <v>44</v>
      </c>
      <c r="K25" s="205">
        <f>-(L6+L7+L8+L9+L11)</f>
        <v>204032.31783499484</v>
      </c>
      <c r="L25" s="119"/>
      <c r="M25" s="408" t="s">
        <v>44</v>
      </c>
      <c r="N25" s="409"/>
      <c r="O25" s="251">
        <f>-(O6+O7+O8+O9+O11)</f>
        <v>210966.92994509998</v>
      </c>
      <c r="P25" s="410"/>
      <c r="Q25" s="410"/>
      <c r="R25" s="126"/>
      <c r="S25" s="126"/>
      <c r="T25" s="126"/>
      <c r="U25" s="126"/>
      <c r="V25" s="411" t="s">
        <v>44</v>
      </c>
      <c r="W25" s="412"/>
      <c r="X25" s="287">
        <f>-(W7+W8+W9+W11)</f>
        <v>174052.81662366018</v>
      </c>
      <c r="Y25" s="126"/>
      <c r="Z25" s="126"/>
      <c r="AA25" s="411" t="s">
        <v>44</v>
      </c>
      <c r="AB25" s="412"/>
      <c r="AC25" s="295">
        <f>-(AC7+AC8+AC9+AC11)</f>
        <v>465725.86144343304</v>
      </c>
      <c r="AD25" s="126"/>
      <c r="AE25" s="336" t="s">
        <v>44</v>
      </c>
      <c r="AF25" s="337">
        <f>-(AF7+AF8+AF9+AF11)</f>
        <v>243124.54340754</v>
      </c>
      <c r="AG25" s="341" t="s">
        <v>99</v>
      </c>
      <c r="AH25" s="342">
        <f>AF27*100/AG14</f>
        <v>-227.80908368933365</v>
      </c>
      <c r="AI25" s="126"/>
      <c r="AJ25" s="126"/>
      <c r="AK25" s="126"/>
      <c r="AL25" s="336" t="s">
        <v>44</v>
      </c>
      <c r="AM25" s="349">
        <f>-(AM7+AM8+AM9+AM12+AM13)</f>
        <v>1120084.5529636317</v>
      </c>
      <c r="AN25" s="369" t="s">
        <v>99</v>
      </c>
      <c r="AO25" s="370">
        <f>AM27*100/AN14</f>
        <v>-288.4136136381669</v>
      </c>
      <c r="AP25" s="126"/>
      <c r="AQ25" s="126"/>
      <c r="AR25" s="336" t="s">
        <v>44</v>
      </c>
      <c r="AS25" s="349">
        <f>-(AS7+AS8+AS9+AS12+AS13)</f>
        <v>2081429.402656208</v>
      </c>
      <c r="AT25" s="349"/>
      <c r="AU25" s="349"/>
      <c r="AV25" s="369" t="s">
        <v>99</v>
      </c>
      <c r="AW25" s="370">
        <f>AS27*100/AT14</f>
        <v>-283.02113351036553</v>
      </c>
      <c r="AX25" s="401" t="s">
        <v>44</v>
      </c>
      <c r="AY25" s="349">
        <f>-(AY6+AY7+AY8+AY9+AY12+AY13)</f>
        <v>2314498.8443727726</v>
      </c>
      <c r="AZ25" s="369" t="s">
        <v>99</v>
      </c>
      <c r="BA25" s="370">
        <f>AY24*100/AZ24</f>
        <v>-377.94575937409905</v>
      </c>
      <c r="BC25" s="126"/>
      <c r="BD25" s="126"/>
      <c r="BE25" s="126"/>
      <c r="BF25" s="126"/>
      <c r="BG25" s="126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</row>
    <row r="26" spans="2:61" s="100" customFormat="1" ht="36" customHeight="1" hidden="1" thickBot="1">
      <c r="B26" s="101"/>
      <c r="C26" s="102"/>
      <c r="D26" s="72"/>
      <c r="E26" s="104"/>
      <c r="F26" s="72"/>
      <c r="G26" s="72"/>
      <c r="H26" s="103"/>
      <c r="I26" s="103"/>
      <c r="J26" s="102"/>
      <c r="K26" s="103"/>
      <c r="L26" s="413" t="s">
        <v>39</v>
      </c>
      <c r="M26" s="414"/>
      <c r="N26" s="201"/>
      <c r="O26" s="160" t="s">
        <v>31</v>
      </c>
      <c r="P26" s="197" t="e">
        <f>#REF!*100/P24</f>
        <v>#REF!</v>
      </c>
      <c r="Q26" s="103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85" t="e">
        <f>#REF!+#REF!+#REF!</f>
        <v>#REF!</v>
      </c>
      <c r="BI26" s="72"/>
    </row>
    <row r="27" spans="2:61" s="89" customFormat="1" ht="33" customHeight="1" thickBot="1">
      <c r="B27" s="105"/>
      <c r="C27" s="83"/>
      <c r="D27" s="34"/>
      <c r="E27" s="78"/>
      <c r="F27" s="34"/>
      <c r="G27" s="34"/>
      <c r="H27" s="83"/>
      <c r="I27" s="83"/>
      <c r="J27" s="39"/>
      <c r="K27" s="415"/>
      <c r="L27" s="416"/>
      <c r="M27" s="253" t="s">
        <v>67</v>
      </c>
      <c r="N27" s="254">
        <f>L24+O24</f>
        <v>2780.4072983899923</v>
      </c>
      <c r="O27" s="259" t="s">
        <v>69</v>
      </c>
      <c r="P27" s="260">
        <f>N27*100/P24</f>
        <v>0.7963687368109987</v>
      </c>
      <c r="Q27" s="83"/>
      <c r="R27" s="79"/>
      <c r="S27" s="78"/>
      <c r="T27" s="79"/>
      <c r="U27" s="79"/>
      <c r="V27" s="79"/>
      <c r="W27" s="288" t="s">
        <v>69</v>
      </c>
      <c r="X27" s="289">
        <f>W24*100/X24</f>
        <v>-53.01089120825452</v>
      </c>
      <c r="Y27" s="79"/>
      <c r="Z27" s="79"/>
      <c r="AA27" s="79"/>
      <c r="AB27" s="314" t="s">
        <v>35</v>
      </c>
      <c r="AC27" s="315">
        <f>AC24</f>
        <v>-467429.47270161</v>
      </c>
      <c r="AD27" s="79"/>
      <c r="AE27" s="338" t="s">
        <v>96</v>
      </c>
      <c r="AF27" s="325">
        <f>AC27+AF24</f>
        <v>-699816.97559403</v>
      </c>
      <c r="AG27" s="78"/>
      <c r="AH27" s="79"/>
      <c r="AI27" s="79"/>
      <c r="AJ27" s="79"/>
      <c r="AK27" s="79"/>
      <c r="AL27" s="338" t="s">
        <v>96</v>
      </c>
      <c r="AM27" s="325">
        <f>AJ27+AM24</f>
        <v>-909567.9655940301</v>
      </c>
      <c r="AN27" s="79"/>
      <c r="AO27" s="79"/>
      <c r="AP27" s="79"/>
      <c r="AQ27" s="79"/>
      <c r="AR27" s="338" t="s">
        <v>96</v>
      </c>
      <c r="AS27" s="325">
        <f>AS24+14.44</f>
        <v>-1149455.2355940302</v>
      </c>
      <c r="AT27" s="79"/>
      <c r="AU27" s="79"/>
      <c r="AV27" s="338" t="s">
        <v>96</v>
      </c>
      <c r="AW27" s="325">
        <f>AY24</f>
        <v>-1484307.74559403</v>
      </c>
      <c r="AX27" s="79"/>
      <c r="AY27" s="79"/>
      <c r="AZ27" s="79"/>
      <c r="BA27" s="79"/>
      <c r="BB27" s="79"/>
      <c r="BC27" s="79"/>
      <c r="BD27" s="78"/>
      <c r="BE27" s="79"/>
      <c r="BF27" s="79"/>
      <c r="BG27" s="79"/>
      <c r="BH27" s="78"/>
      <c r="BI27" s="34"/>
    </row>
    <row r="28" spans="2:61" s="89" customFormat="1" ht="12.75">
      <c r="B28" s="106"/>
      <c r="C28" s="107"/>
      <c r="D28" s="34"/>
      <c r="E28" s="78"/>
      <c r="F28" s="34"/>
      <c r="G28" s="34"/>
      <c r="H28" s="83"/>
      <c r="I28" s="83"/>
      <c r="J28" s="39"/>
      <c r="K28" s="83"/>
      <c r="L28" s="83"/>
      <c r="M28" s="83"/>
      <c r="N28" s="83"/>
      <c r="O28" s="83"/>
      <c r="P28" s="83"/>
      <c r="Q28" s="83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8"/>
      <c r="BI28" s="34"/>
    </row>
    <row r="29" spans="2:61" s="89" customFormat="1" ht="12.75">
      <c r="B29" s="79"/>
      <c r="C29" s="39"/>
      <c r="D29" s="34"/>
      <c r="E29" s="78"/>
      <c r="F29" s="34"/>
      <c r="G29" s="34"/>
      <c r="H29" s="83"/>
      <c r="I29" s="83"/>
      <c r="J29" s="39"/>
      <c r="K29" s="83"/>
      <c r="L29" s="83"/>
      <c r="M29" s="83"/>
      <c r="N29" s="83"/>
      <c r="O29" s="83"/>
      <c r="P29" s="83"/>
      <c r="Q29" s="83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8"/>
      <c r="BI29" s="34"/>
    </row>
    <row r="30" spans="2:61" s="89" customFormat="1" ht="12.75">
      <c r="B30" s="82"/>
      <c r="C30" s="81"/>
      <c r="D30" s="96"/>
      <c r="E30" s="92"/>
      <c r="F30" s="81"/>
      <c r="G30" s="81"/>
      <c r="H30" s="97"/>
      <c r="I30" s="97"/>
      <c r="J30" s="81"/>
      <c r="K30" s="97"/>
      <c r="L30" s="97"/>
      <c r="M30" s="97"/>
      <c r="N30" s="97"/>
      <c r="O30" s="97"/>
      <c r="P30" s="97"/>
      <c r="Q30" s="97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108"/>
      <c r="BI30" s="109"/>
    </row>
    <row r="31" spans="2:61" s="89" customFormat="1" ht="15.75" customHeight="1">
      <c r="B31" s="82"/>
      <c r="C31" s="81"/>
      <c r="D31" s="96"/>
      <c r="E31" s="196"/>
      <c r="F31" s="96"/>
      <c r="G31" s="96"/>
      <c r="H31" s="97"/>
      <c r="I31" s="97"/>
      <c r="J31" s="81"/>
      <c r="K31" s="97"/>
      <c r="L31" s="97"/>
      <c r="M31" s="97"/>
      <c r="N31" s="97"/>
      <c r="O31" s="97"/>
      <c r="P31" s="97"/>
      <c r="Q31" s="97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6"/>
    </row>
    <row r="32" spans="2:61" s="89" customFormat="1" ht="15" customHeight="1">
      <c r="B32" s="98"/>
      <c r="C32" s="81"/>
      <c r="D32" s="96"/>
      <c r="E32" s="92"/>
      <c r="F32" s="96"/>
      <c r="G32" s="96"/>
      <c r="H32" s="97"/>
      <c r="I32" s="97"/>
      <c r="J32" s="81"/>
      <c r="K32" s="96"/>
      <c r="L32" s="97"/>
      <c r="M32" s="97"/>
      <c r="N32" s="97"/>
      <c r="O32" s="97"/>
      <c r="P32" s="97"/>
      <c r="Q32" s="97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130"/>
      <c r="BI32" s="96"/>
    </row>
    <row r="33" spans="2:61" s="89" customFormat="1" ht="17.25" customHeight="1">
      <c r="B33" s="99"/>
      <c r="C33" s="39"/>
      <c r="D33" s="34"/>
      <c r="E33" s="78"/>
      <c r="F33" s="34"/>
      <c r="G33" s="34"/>
      <c r="H33" s="83"/>
      <c r="I33" s="83"/>
      <c r="J33" s="39"/>
      <c r="K33" s="83"/>
      <c r="L33" s="83"/>
      <c r="M33" s="83"/>
      <c r="N33" s="83"/>
      <c r="O33" s="83"/>
      <c r="P33" s="83"/>
      <c r="Q33" s="83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92"/>
      <c r="BI33" s="96"/>
    </row>
    <row r="34" spans="2:61" s="89" customFormat="1" ht="25.5" customHeight="1" hidden="1">
      <c r="B34" s="79"/>
      <c r="C34" s="39"/>
      <c r="D34" s="34"/>
      <c r="E34" s="78"/>
      <c r="F34" s="34"/>
      <c r="G34" s="34"/>
      <c r="H34" s="83"/>
      <c r="I34" s="83"/>
      <c r="J34" s="39"/>
      <c r="K34" s="83"/>
      <c r="L34" s="83"/>
      <c r="M34" s="83"/>
      <c r="N34" s="83"/>
      <c r="O34" s="83"/>
      <c r="P34" s="83"/>
      <c r="Q34" s="83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8"/>
      <c r="BI34" s="34"/>
    </row>
    <row r="35" spans="2:61" s="89" customFormat="1" ht="25.5" customHeight="1" hidden="1">
      <c r="B35" s="79"/>
      <c r="C35" s="39"/>
      <c r="D35" s="34"/>
      <c r="E35" s="78"/>
      <c r="F35" s="34"/>
      <c r="G35" s="34"/>
      <c r="H35" s="83"/>
      <c r="I35" s="83"/>
      <c r="J35" s="39"/>
      <c r="K35" s="83"/>
      <c r="L35" s="83"/>
      <c r="M35" s="83"/>
      <c r="N35" s="83"/>
      <c r="O35" s="83"/>
      <c r="P35" s="83"/>
      <c r="Q35" s="83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8"/>
      <c r="BI35" s="34"/>
    </row>
    <row r="36" spans="2:61" s="89" customFormat="1" ht="25.5" customHeight="1" hidden="1">
      <c r="B36" s="79"/>
      <c r="C36" s="39"/>
      <c r="D36" s="34"/>
      <c r="E36" s="78"/>
      <c r="F36" s="34"/>
      <c r="G36" s="34"/>
      <c r="H36" s="83"/>
      <c r="I36" s="83"/>
      <c r="J36" s="39"/>
      <c r="K36" s="83"/>
      <c r="L36" s="83"/>
      <c r="M36" s="83"/>
      <c r="N36" s="83"/>
      <c r="O36" s="83"/>
      <c r="P36" s="83"/>
      <c r="Q36" s="83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8"/>
      <c r="BI36" s="34"/>
    </row>
    <row r="37" spans="2:61" s="89" customFormat="1" ht="25.5" customHeight="1">
      <c r="B37" s="79"/>
      <c r="C37" s="39"/>
      <c r="D37" s="34"/>
      <c r="E37" s="78"/>
      <c r="F37" s="34"/>
      <c r="G37" s="34"/>
      <c r="H37" s="83"/>
      <c r="I37" s="83"/>
      <c r="J37" s="39"/>
      <c r="K37" s="83"/>
      <c r="L37" s="83"/>
      <c r="M37" s="83"/>
      <c r="N37" s="83"/>
      <c r="O37" s="83"/>
      <c r="P37" s="83"/>
      <c r="Q37" s="83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8"/>
      <c r="BI37" s="34"/>
    </row>
    <row r="38" spans="2:61" s="89" customFormat="1" ht="25.5" customHeight="1">
      <c r="B38" s="79"/>
      <c r="C38" s="39"/>
      <c r="D38" s="34"/>
      <c r="E38" s="78"/>
      <c r="F38" s="34"/>
      <c r="G38" s="34"/>
      <c r="H38" s="83"/>
      <c r="I38" s="83"/>
      <c r="J38" s="39"/>
      <c r="K38" s="83"/>
      <c r="L38" s="83"/>
      <c r="M38" s="83"/>
      <c r="N38" s="83"/>
      <c r="O38" s="83"/>
      <c r="P38" s="83"/>
      <c r="Q38" s="83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8"/>
      <c r="BI38" s="34"/>
    </row>
    <row r="39" spans="2:61" s="89" customFormat="1" ht="25.5" customHeight="1">
      <c r="B39" s="79"/>
      <c r="C39" s="39"/>
      <c r="D39" s="34"/>
      <c r="E39" s="78"/>
      <c r="F39" s="34"/>
      <c r="G39" s="34"/>
      <c r="H39" s="83"/>
      <c r="I39" s="83"/>
      <c r="J39" s="39"/>
      <c r="K39" s="83"/>
      <c r="L39" s="83"/>
      <c r="M39" s="83"/>
      <c r="N39" s="83"/>
      <c r="O39" s="83"/>
      <c r="P39" s="83"/>
      <c r="Q39" s="83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8"/>
      <c r="BI39" s="34"/>
    </row>
    <row r="40" spans="2:61" s="89" customFormat="1" ht="25.5" customHeight="1">
      <c r="B40" s="79"/>
      <c r="C40" s="39"/>
      <c r="D40" s="34"/>
      <c r="E40" s="78"/>
      <c r="F40" s="34"/>
      <c r="G40" s="34"/>
      <c r="H40" s="83"/>
      <c r="I40" s="83"/>
      <c r="J40" s="39"/>
      <c r="K40" s="83"/>
      <c r="L40" s="83"/>
      <c r="M40" s="83"/>
      <c r="N40" s="83"/>
      <c r="O40" s="83"/>
      <c r="P40" s="83"/>
      <c r="Q40" s="83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8"/>
      <c r="BI40" s="34"/>
    </row>
    <row r="41" spans="2:61" s="89" customFormat="1" ht="25.5" customHeight="1">
      <c r="B41" s="79"/>
      <c r="C41" s="39"/>
      <c r="D41" s="34"/>
      <c r="E41" s="78"/>
      <c r="F41" s="34"/>
      <c r="G41" s="34"/>
      <c r="H41" s="83"/>
      <c r="I41" s="83"/>
      <c r="J41" s="39"/>
      <c r="K41" s="83"/>
      <c r="L41" s="83"/>
      <c r="M41" s="83"/>
      <c r="N41" s="83"/>
      <c r="O41" s="83"/>
      <c r="P41" s="83"/>
      <c r="Q41" s="83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8"/>
      <c r="BI41" s="34"/>
    </row>
    <row r="42" spans="2:61" s="89" customFormat="1" ht="25.5" customHeight="1">
      <c r="B42" s="79"/>
      <c r="C42" s="39"/>
      <c r="D42" s="34"/>
      <c r="E42" s="78"/>
      <c r="F42" s="34"/>
      <c r="G42" s="34"/>
      <c r="H42" s="83"/>
      <c r="I42" s="83"/>
      <c r="J42" s="39"/>
      <c r="K42" s="83"/>
      <c r="L42" s="83"/>
      <c r="M42" s="83"/>
      <c r="N42" s="83"/>
      <c r="O42" s="83"/>
      <c r="P42" s="83"/>
      <c r="Q42" s="83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8"/>
      <c r="BI42" s="34"/>
    </row>
    <row r="43" spans="2:61" s="89" customFormat="1" ht="25.5" customHeight="1">
      <c r="B43" s="79"/>
      <c r="C43" s="39"/>
      <c r="D43" s="34"/>
      <c r="E43" s="78"/>
      <c r="F43" s="34"/>
      <c r="G43" s="34"/>
      <c r="H43" s="83"/>
      <c r="I43" s="83"/>
      <c r="J43" s="39"/>
      <c r="K43" s="83"/>
      <c r="L43" s="83"/>
      <c r="M43" s="83"/>
      <c r="N43" s="83"/>
      <c r="O43" s="83"/>
      <c r="P43" s="83"/>
      <c r="Q43" s="83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8"/>
      <c r="BI43" s="34"/>
    </row>
    <row r="44" spans="2:61" s="89" customFormat="1" ht="25.5" customHeight="1">
      <c r="B44" s="79"/>
      <c r="C44" s="39"/>
      <c r="D44" s="34"/>
      <c r="E44" s="78"/>
      <c r="F44" s="34"/>
      <c r="G44" s="34"/>
      <c r="H44" s="83"/>
      <c r="I44" s="83"/>
      <c r="J44" s="39"/>
      <c r="K44" s="83"/>
      <c r="L44" s="83"/>
      <c r="M44" s="83"/>
      <c r="N44" s="83"/>
      <c r="O44" s="83"/>
      <c r="P44" s="83"/>
      <c r="Q44" s="83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8"/>
      <c r="BI44" s="34"/>
    </row>
    <row r="45" spans="2:61" s="89" customFormat="1" ht="25.5" customHeight="1">
      <c r="B45" s="79"/>
      <c r="C45" s="39"/>
      <c r="D45" s="34"/>
      <c r="E45" s="78"/>
      <c r="F45" s="34"/>
      <c r="G45" s="34"/>
      <c r="H45" s="83"/>
      <c r="I45" s="83"/>
      <c r="J45" s="39"/>
      <c r="K45" s="83"/>
      <c r="L45" s="83"/>
      <c r="M45" s="83"/>
      <c r="N45" s="83"/>
      <c r="O45" s="83"/>
      <c r="P45" s="83"/>
      <c r="Q45" s="83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8"/>
      <c r="BI45" s="34"/>
    </row>
    <row r="46" spans="2:61" s="89" customFormat="1" ht="25.5" customHeight="1">
      <c r="B46" s="79"/>
      <c r="C46" s="39"/>
      <c r="D46" s="34"/>
      <c r="E46" s="78"/>
      <c r="F46" s="34"/>
      <c r="G46" s="34"/>
      <c r="H46" s="83"/>
      <c r="I46" s="83"/>
      <c r="J46" s="39"/>
      <c r="K46" s="83"/>
      <c r="L46" s="83"/>
      <c r="M46" s="83"/>
      <c r="N46" s="83"/>
      <c r="O46" s="83"/>
      <c r="P46" s="83"/>
      <c r="Q46" s="83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8"/>
      <c r="BI46" s="34"/>
    </row>
    <row r="47" spans="2:61" s="89" customFormat="1" ht="25.5" customHeight="1">
      <c r="B47" s="79"/>
      <c r="C47" s="39"/>
      <c r="D47" s="34"/>
      <c r="E47" s="78"/>
      <c r="F47" s="34"/>
      <c r="G47" s="34"/>
      <c r="H47" s="83"/>
      <c r="I47" s="83"/>
      <c r="J47" s="39"/>
      <c r="K47" s="83"/>
      <c r="L47" s="83"/>
      <c r="M47" s="83"/>
      <c r="N47" s="83"/>
      <c r="O47" s="83"/>
      <c r="P47" s="83"/>
      <c r="Q47" s="83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8"/>
      <c r="BI47" s="34"/>
    </row>
    <row r="48" spans="2:61" s="89" customFormat="1" ht="25.5" customHeight="1">
      <c r="B48" s="79"/>
      <c r="C48" s="39"/>
      <c r="D48" s="34"/>
      <c r="E48" s="78"/>
      <c r="F48" s="34"/>
      <c r="G48" s="34"/>
      <c r="H48" s="83"/>
      <c r="I48" s="83"/>
      <c r="J48" s="39"/>
      <c r="K48" s="83"/>
      <c r="L48" s="83"/>
      <c r="M48" s="83"/>
      <c r="N48" s="83"/>
      <c r="O48" s="83"/>
      <c r="P48" s="83"/>
      <c r="Q48" s="83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8"/>
      <c r="BI48" s="34"/>
    </row>
    <row r="49" spans="2:61" s="89" customFormat="1" ht="25.5" customHeight="1">
      <c r="B49" s="79"/>
      <c r="C49" s="39"/>
      <c r="D49" s="34"/>
      <c r="E49" s="78"/>
      <c r="F49" s="34"/>
      <c r="G49" s="34"/>
      <c r="H49" s="83"/>
      <c r="I49" s="83"/>
      <c r="J49" s="39"/>
      <c r="K49" s="83"/>
      <c r="L49" s="83"/>
      <c r="M49" s="83"/>
      <c r="N49" s="83"/>
      <c r="O49" s="83"/>
      <c r="P49" s="83"/>
      <c r="Q49" s="83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8"/>
      <c r="BI49" s="34"/>
    </row>
    <row r="50" spans="2:61" s="89" customFormat="1" ht="25.5" customHeight="1">
      <c r="B50" s="79"/>
      <c r="C50" s="39"/>
      <c r="D50" s="34"/>
      <c r="E50" s="78"/>
      <c r="F50" s="34"/>
      <c r="G50" s="34"/>
      <c r="H50" s="83"/>
      <c r="I50" s="83"/>
      <c r="J50" s="39"/>
      <c r="K50" s="83"/>
      <c r="L50" s="83"/>
      <c r="M50" s="83"/>
      <c r="N50" s="83"/>
      <c r="O50" s="83"/>
      <c r="P50" s="83"/>
      <c r="Q50" s="83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8"/>
      <c r="BI50" s="34"/>
    </row>
    <row r="51" spans="2:61" s="89" customFormat="1" ht="25.5" customHeight="1">
      <c r="B51" s="79"/>
      <c r="C51" s="39"/>
      <c r="D51" s="34"/>
      <c r="E51" s="78"/>
      <c r="F51" s="34"/>
      <c r="G51" s="34"/>
      <c r="H51" s="83"/>
      <c r="I51" s="83"/>
      <c r="J51" s="39"/>
      <c r="K51" s="83"/>
      <c r="L51" s="83"/>
      <c r="M51" s="83"/>
      <c r="N51" s="83"/>
      <c r="O51" s="83"/>
      <c r="P51" s="83"/>
      <c r="Q51" s="83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8"/>
      <c r="BI51" s="34"/>
    </row>
    <row r="52" spans="2:61" s="89" customFormat="1" ht="25.5" customHeight="1">
      <c r="B52" s="79"/>
      <c r="C52" s="39"/>
      <c r="D52" s="34"/>
      <c r="E52" s="78"/>
      <c r="F52" s="34"/>
      <c r="G52" s="34"/>
      <c r="H52" s="83"/>
      <c r="I52" s="83"/>
      <c r="J52" s="39"/>
      <c r="K52" s="83"/>
      <c r="L52" s="83"/>
      <c r="M52" s="83"/>
      <c r="N52" s="83"/>
      <c r="O52" s="83"/>
      <c r="P52" s="83"/>
      <c r="Q52" s="83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8"/>
      <c r="BI52" s="34"/>
    </row>
    <row r="53" spans="2:61" s="89" customFormat="1" ht="25.5" customHeight="1">
      <c r="B53" s="79"/>
      <c r="C53" s="39"/>
      <c r="D53" s="34"/>
      <c r="E53" s="78"/>
      <c r="F53" s="34"/>
      <c r="G53" s="34"/>
      <c r="H53" s="83"/>
      <c r="I53" s="83"/>
      <c r="J53" s="39"/>
      <c r="K53" s="83"/>
      <c r="L53" s="83"/>
      <c r="M53" s="83"/>
      <c r="N53" s="83"/>
      <c r="O53" s="83"/>
      <c r="P53" s="83"/>
      <c r="Q53" s="83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8"/>
      <c r="BI53" s="34"/>
    </row>
    <row r="54" spans="2:61" s="89" customFormat="1" ht="25.5" customHeight="1">
      <c r="B54" s="79"/>
      <c r="C54" s="39"/>
      <c r="D54" s="34"/>
      <c r="E54" s="78"/>
      <c r="F54" s="34"/>
      <c r="G54" s="34"/>
      <c r="H54" s="83"/>
      <c r="I54" s="83"/>
      <c r="J54" s="39"/>
      <c r="K54" s="83"/>
      <c r="L54" s="83"/>
      <c r="M54" s="83"/>
      <c r="N54" s="83"/>
      <c r="O54" s="83"/>
      <c r="P54" s="83"/>
      <c r="Q54" s="83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8"/>
      <c r="BI54" s="34"/>
    </row>
    <row r="55" spans="2:61" s="89" customFormat="1" ht="25.5" customHeight="1">
      <c r="B55" s="79"/>
      <c r="C55" s="39"/>
      <c r="D55" s="34"/>
      <c r="E55" s="78"/>
      <c r="F55" s="34"/>
      <c r="G55" s="34"/>
      <c r="H55" s="83"/>
      <c r="I55" s="83"/>
      <c r="J55" s="39"/>
      <c r="K55" s="83"/>
      <c r="L55" s="83"/>
      <c r="M55" s="83"/>
      <c r="N55" s="83"/>
      <c r="O55" s="83"/>
      <c r="P55" s="83"/>
      <c r="Q55" s="83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8"/>
      <c r="BI55" s="34"/>
    </row>
    <row r="56" spans="2:61" s="89" customFormat="1" ht="25.5" customHeight="1">
      <c r="B56" s="79"/>
      <c r="C56" s="39"/>
      <c r="D56" s="34"/>
      <c r="E56" s="78"/>
      <c r="F56" s="34"/>
      <c r="G56" s="34"/>
      <c r="H56" s="83"/>
      <c r="I56" s="83"/>
      <c r="J56" s="39"/>
      <c r="K56" s="83"/>
      <c r="L56" s="83"/>
      <c r="M56" s="83"/>
      <c r="N56" s="83"/>
      <c r="O56" s="83"/>
      <c r="P56" s="83"/>
      <c r="Q56" s="83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8"/>
      <c r="BI56" s="34"/>
    </row>
    <row r="57" spans="2:61" s="89" customFormat="1" ht="25.5" customHeight="1">
      <c r="B57" s="79"/>
      <c r="C57" s="39"/>
      <c r="D57" s="34"/>
      <c r="E57" s="78"/>
      <c r="F57" s="34"/>
      <c r="G57" s="34"/>
      <c r="H57" s="83"/>
      <c r="I57" s="83"/>
      <c r="J57" s="39"/>
      <c r="K57" s="83"/>
      <c r="L57" s="83"/>
      <c r="M57" s="83"/>
      <c r="N57" s="83"/>
      <c r="O57" s="83"/>
      <c r="P57" s="83"/>
      <c r="Q57" s="83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8"/>
      <c r="BI57" s="34"/>
    </row>
    <row r="58" spans="2:61" s="89" customFormat="1" ht="25.5" customHeight="1">
      <c r="B58" s="79"/>
      <c r="C58" s="39"/>
      <c r="D58" s="34"/>
      <c r="E58" s="78"/>
      <c r="F58" s="34"/>
      <c r="G58" s="34"/>
      <c r="H58" s="83"/>
      <c r="I58" s="83"/>
      <c r="J58" s="39"/>
      <c r="K58" s="83"/>
      <c r="L58" s="83"/>
      <c r="M58" s="83"/>
      <c r="N58" s="83"/>
      <c r="O58" s="83"/>
      <c r="P58" s="83"/>
      <c r="Q58" s="83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8"/>
      <c r="BI58" s="34"/>
    </row>
    <row r="59" spans="2:61" s="89" customFormat="1" ht="25.5" customHeight="1">
      <c r="B59" s="79"/>
      <c r="C59" s="39"/>
      <c r="D59" s="34"/>
      <c r="E59" s="78"/>
      <c r="F59" s="34"/>
      <c r="G59" s="34"/>
      <c r="H59" s="83"/>
      <c r="I59" s="83"/>
      <c r="J59" s="39"/>
      <c r="K59" s="83"/>
      <c r="L59" s="83"/>
      <c r="M59" s="83"/>
      <c r="N59" s="83"/>
      <c r="O59" s="83"/>
      <c r="P59" s="83"/>
      <c r="Q59" s="83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8"/>
      <c r="BI59" s="34"/>
    </row>
    <row r="60" spans="2:61" s="89" customFormat="1" ht="25.5" customHeight="1">
      <c r="B60" s="79"/>
      <c r="C60" s="39"/>
      <c r="D60" s="34"/>
      <c r="E60" s="78"/>
      <c r="F60" s="34"/>
      <c r="G60" s="34"/>
      <c r="H60" s="83"/>
      <c r="I60" s="83"/>
      <c r="J60" s="39"/>
      <c r="K60" s="83"/>
      <c r="L60" s="83"/>
      <c r="M60" s="83"/>
      <c r="N60" s="83"/>
      <c r="O60" s="83"/>
      <c r="P60" s="83"/>
      <c r="Q60" s="83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8"/>
      <c r="BI60" s="34"/>
    </row>
    <row r="61" spans="2:61" s="89" customFormat="1" ht="25.5" customHeight="1">
      <c r="B61" s="79"/>
      <c r="C61" s="39"/>
      <c r="D61" s="34"/>
      <c r="E61" s="78"/>
      <c r="F61" s="34"/>
      <c r="G61" s="34"/>
      <c r="H61" s="83"/>
      <c r="I61" s="83"/>
      <c r="J61" s="39"/>
      <c r="K61" s="83"/>
      <c r="L61" s="83"/>
      <c r="M61" s="83"/>
      <c r="N61" s="83"/>
      <c r="O61" s="83"/>
      <c r="P61" s="83"/>
      <c r="Q61" s="83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8"/>
      <c r="BI61" s="34"/>
    </row>
    <row r="62" spans="2:61" s="89" customFormat="1" ht="25.5" customHeight="1">
      <c r="B62" s="79"/>
      <c r="C62" s="39"/>
      <c r="D62" s="34"/>
      <c r="E62" s="78"/>
      <c r="F62" s="34"/>
      <c r="G62" s="34"/>
      <c r="H62" s="83"/>
      <c r="I62" s="83"/>
      <c r="J62" s="39"/>
      <c r="K62" s="83"/>
      <c r="L62" s="83"/>
      <c r="M62" s="83"/>
      <c r="N62" s="83"/>
      <c r="O62" s="83"/>
      <c r="P62" s="83"/>
      <c r="Q62" s="83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8"/>
      <c r="BI62" s="34"/>
    </row>
    <row r="63" spans="2:61" s="89" customFormat="1" ht="25.5" customHeight="1">
      <c r="B63" s="79"/>
      <c r="C63" s="39"/>
      <c r="D63" s="34"/>
      <c r="E63" s="78"/>
      <c r="F63" s="34"/>
      <c r="G63" s="34"/>
      <c r="H63" s="83"/>
      <c r="I63" s="83"/>
      <c r="J63" s="39"/>
      <c r="K63" s="83"/>
      <c r="L63" s="83"/>
      <c r="M63" s="83"/>
      <c r="N63" s="83"/>
      <c r="O63" s="83"/>
      <c r="P63" s="83"/>
      <c r="Q63" s="83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8"/>
      <c r="BI63" s="34"/>
    </row>
    <row r="64" spans="2:61" s="89" customFormat="1" ht="25.5" customHeight="1">
      <c r="B64" s="79"/>
      <c r="C64" s="39"/>
      <c r="D64" s="34"/>
      <c r="E64" s="78"/>
      <c r="F64" s="34"/>
      <c r="G64" s="34"/>
      <c r="H64" s="83"/>
      <c r="I64" s="83"/>
      <c r="J64" s="39"/>
      <c r="K64" s="83"/>
      <c r="L64" s="83"/>
      <c r="M64" s="83"/>
      <c r="N64" s="83"/>
      <c r="O64" s="83"/>
      <c r="P64" s="83"/>
      <c r="Q64" s="83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8"/>
      <c r="BI64" s="34"/>
    </row>
    <row r="65" spans="2:61" s="89" customFormat="1" ht="25.5" customHeight="1">
      <c r="B65" s="79"/>
      <c r="C65" s="39"/>
      <c r="D65" s="34"/>
      <c r="E65" s="78"/>
      <c r="F65" s="34"/>
      <c r="G65" s="34"/>
      <c r="H65" s="83"/>
      <c r="I65" s="83"/>
      <c r="J65" s="39"/>
      <c r="K65" s="83"/>
      <c r="L65" s="83"/>
      <c r="M65" s="83"/>
      <c r="N65" s="83"/>
      <c r="O65" s="83"/>
      <c r="P65" s="83"/>
      <c r="Q65" s="83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8"/>
      <c r="BI65" s="34"/>
    </row>
    <row r="66" spans="2:61" s="89" customFormat="1" ht="25.5" customHeight="1">
      <c r="B66" s="79"/>
      <c r="C66" s="39"/>
      <c r="D66" s="34"/>
      <c r="E66" s="78"/>
      <c r="F66" s="34"/>
      <c r="G66" s="34"/>
      <c r="H66" s="83"/>
      <c r="I66" s="83"/>
      <c r="J66" s="39"/>
      <c r="K66" s="83"/>
      <c r="L66" s="83"/>
      <c r="M66" s="83"/>
      <c r="N66" s="83"/>
      <c r="O66" s="83"/>
      <c r="P66" s="83"/>
      <c r="Q66" s="83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8"/>
      <c r="BI66" s="34"/>
    </row>
    <row r="67" spans="2:61" s="89" customFormat="1" ht="25.5" customHeight="1">
      <c r="B67" s="79"/>
      <c r="C67" s="39"/>
      <c r="D67" s="34"/>
      <c r="E67" s="78"/>
      <c r="F67" s="34"/>
      <c r="G67" s="34"/>
      <c r="H67" s="83"/>
      <c r="I67" s="83"/>
      <c r="J67" s="39"/>
      <c r="K67" s="83"/>
      <c r="L67" s="83"/>
      <c r="M67" s="83"/>
      <c r="N67" s="83"/>
      <c r="O67" s="83"/>
      <c r="P67" s="83"/>
      <c r="Q67" s="83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8"/>
      <c r="BI67" s="34"/>
    </row>
    <row r="68" spans="2:61" s="89" customFormat="1" ht="25.5" customHeight="1">
      <c r="B68" s="79"/>
      <c r="C68" s="39"/>
      <c r="D68" s="34"/>
      <c r="E68" s="78"/>
      <c r="F68" s="34"/>
      <c r="G68" s="34"/>
      <c r="H68" s="83"/>
      <c r="I68" s="83"/>
      <c r="J68" s="39"/>
      <c r="K68" s="83"/>
      <c r="L68" s="83"/>
      <c r="M68" s="83"/>
      <c r="N68" s="83"/>
      <c r="O68" s="83"/>
      <c r="P68" s="83"/>
      <c r="Q68" s="83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8"/>
      <c r="BI68" s="34"/>
    </row>
    <row r="69" spans="2:61" s="89" customFormat="1" ht="25.5" customHeight="1">
      <c r="B69" s="79"/>
      <c r="C69" s="39"/>
      <c r="D69" s="34"/>
      <c r="E69" s="78"/>
      <c r="F69" s="34"/>
      <c r="G69" s="34"/>
      <c r="H69" s="83"/>
      <c r="I69" s="83"/>
      <c r="J69" s="39"/>
      <c r="K69" s="83"/>
      <c r="L69" s="83"/>
      <c r="M69" s="83"/>
      <c r="N69" s="83"/>
      <c r="O69" s="83"/>
      <c r="P69" s="83"/>
      <c r="Q69" s="83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8"/>
      <c r="BI69" s="34"/>
    </row>
    <row r="70" spans="2:61" s="89" customFormat="1" ht="25.5" customHeight="1">
      <c r="B70" s="79"/>
      <c r="C70" s="39"/>
      <c r="D70" s="34"/>
      <c r="E70" s="78"/>
      <c r="F70" s="34"/>
      <c r="G70" s="34"/>
      <c r="H70" s="83"/>
      <c r="I70" s="83"/>
      <c r="J70" s="39"/>
      <c r="K70" s="83"/>
      <c r="L70" s="83"/>
      <c r="M70" s="83"/>
      <c r="N70" s="83"/>
      <c r="O70" s="83"/>
      <c r="P70" s="83"/>
      <c r="Q70" s="83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8"/>
      <c r="BI70" s="34"/>
    </row>
    <row r="71" spans="2:61" s="89" customFormat="1" ht="25.5" customHeight="1">
      <c r="B71" s="79"/>
      <c r="C71" s="39"/>
      <c r="D71" s="34"/>
      <c r="E71" s="78"/>
      <c r="F71" s="34"/>
      <c r="G71" s="34"/>
      <c r="H71" s="83"/>
      <c r="I71" s="83"/>
      <c r="J71" s="39"/>
      <c r="K71" s="83"/>
      <c r="L71" s="83"/>
      <c r="M71" s="83"/>
      <c r="N71" s="83"/>
      <c r="O71" s="83"/>
      <c r="P71" s="83"/>
      <c r="Q71" s="83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8"/>
      <c r="BI71" s="34"/>
    </row>
    <row r="72" spans="2:61" s="89" customFormat="1" ht="25.5" customHeight="1">
      <c r="B72" s="79"/>
      <c r="C72" s="39"/>
      <c r="D72" s="34"/>
      <c r="E72" s="78"/>
      <c r="F72" s="34"/>
      <c r="G72" s="34"/>
      <c r="H72" s="83"/>
      <c r="I72" s="83"/>
      <c r="J72" s="39"/>
      <c r="K72" s="83"/>
      <c r="L72" s="83"/>
      <c r="M72" s="83"/>
      <c r="N72" s="83"/>
      <c r="O72" s="83"/>
      <c r="P72" s="83"/>
      <c r="Q72" s="83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8"/>
      <c r="BI72" s="34"/>
    </row>
  </sheetData>
  <sheetProtection/>
  <mergeCells count="6">
    <mergeCell ref="M25:N25"/>
    <mergeCell ref="P25:Q25"/>
    <mergeCell ref="V25:W25"/>
    <mergeCell ref="AA25:AB25"/>
    <mergeCell ref="L26:M26"/>
    <mergeCell ref="K27:L27"/>
  </mergeCells>
  <printOptions/>
  <pageMargins left="0.16" right="0.16" top="0.27" bottom="0.21" header="0.17" footer="0.17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 Ichim</cp:lastModifiedBy>
  <cp:lastPrinted>2023-10-17T12:56:43Z</cp:lastPrinted>
  <dcterms:created xsi:type="dcterms:W3CDTF">2010-05-25T05:24:31Z</dcterms:created>
  <dcterms:modified xsi:type="dcterms:W3CDTF">2023-10-17T14:34:43Z</dcterms:modified>
  <cp:category/>
  <cp:version/>
  <cp:contentType/>
  <cp:contentStatus/>
</cp:coreProperties>
</file>