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20520" windowHeight="9525" tabRatio="634" activeTab="0"/>
  </bookViews>
  <sheets>
    <sheet name="MAI-DEC2022" sheetId="1" r:id="rId1"/>
  </sheets>
  <definedNames/>
  <calcPr fullCalcOnLoad="1"/>
</workbook>
</file>

<file path=xl/sharedStrings.xml><?xml version="1.0" encoding="utf-8"?>
<sst xmlns="http://schemas.openxmlformats.org/spreadsheetml/2006/main" count="138" uniqueCount="134">
  <si>
    <t>SLA</t>
  </si>
  <si>
    <t>CASA DE ASIGURARI DE SANATATE BRAILA</t>
  </si>
  <si>
    <t>PROGRAM</t>
  </si>
  <si>
    <t>TIP alocare</t>
  </si>
  <si>
    <t>SPITAL</t>
  </si>
  <si>
    <t>FARMACII</t>
  </si>
  <si>
    <t>DIABET ZAHARAT</t>
  </si>
  <si>
    <t>ONCOLOGIE</t>
  </si>
  <si>
    <t>TOTAL DIABET</t>
  </si>
  <si>
    <t>MEDICAMENTE</t>
  </si>
  <si>
    <t>TOTAL DIABET - general</t>
  </si>
  <si>
    <t>MATERIALE SANITARE</t>
  </si>
  <si>
    <t>HEMOFILIE</t>
  </si>
  <si>
    <t>TALASEMIE</t>
  </si>
  <si>
    <t>TOTAL HEMO-TALA</t>
  </si>
  <si>
    <t>MUCOVISCIDOZA copii</t>
  </si>
  <si>
    <t>TOTAL BOLI RARE - farmacii</t>
  </si>
  <si>
    <t>BOLI ENDOCRINE</t>
  </si>
  <si>
    <t>TOTAL BOLI ENDOCRINE</t>
  </si>
  <si>
    <t>din care:</t>
  </si>
  <si>
    <t xml:space="preserve">MATERIALE SANITARE = </t>
  </si>
  <si>
    <t>Materiale sanitare spital</t>
  </si>
  <si>
    <t>Osteoporoza spital</t>
  </si>
  <si>
    <t>Osteoporoza farmacii</t>
  </si>
  <si>
    <t>GUSAspital</t>
  </si>
  <si>
    <t>POST TRANSPLANT - farmacii</t>
  </si>
  <si>
    <t>ORTOPEDIE (materiale sanitare) -spital</t>
  </si>
  <si>
    <t>TESTE COPII -farmacii</t>
  </si>
  <si>
    <t>TESTE ADULTI -farmacii</t>
  </si>
  <si>
    <t>Boala HUNTER - SPITAL</t>
  </si>
  <si>
    <t>Sindrom Prader Willi</t>
  </si>
  <si>
    <t>BOLI RARE</t>
  </si>
  <si>
    <t>Hemofilie + talasemie</t>
  </si>
  <si>
    <t>RADIOTERAPIE *) - SPITAL JUDETEAN</t>
  </si>
  <si>
    <t>MUCOVISCIDOZA adulti</t>
  </si>
  <si>
    <t>TOTAL ONCOLOGIE (fara CV)</t>
  </si>
  <si>
    <t>Program national de supleere a functiei renale la bolnavii cu insuficienta renala cronica*)</t>
  </si>
  <si>
    <t xml:space="preserve">MEDICAMENTE (fara CV) = </t>
  </si>
  <si>
    <t>Contracte FPS</t>
  </si>
  <si>
    <t>DUCHENNE</t>
  </si>
  <si>
    <t>CONSUM IAN</t>
  </si>
  <si>
    <t>INTRARI IAN</t>
  </si>
  <si>
    <t>CONSUM FEB</t>
  </si>
  <si>
    <t>INTRARI FEB</t>
  </si>
  <si>
    <t>CONSUM MAR</t>
  </si>
  <si>
    <t>INTRARI MAR</t>
  </si>
  <si>
    <t>CONSUM TRIM I</t>
  </si>
  <si>
    <t>PNS ctr 1724 SPITAL JUDETEAN (cu CV) =</t>
  </si>
  <si>
    <t>CONSUM APR</t>
  </si>
  <si>
    <t>INTRARI APR</t>
  </si>
  <si>
    <t>CONSUM MAI</t>
  </si>
  <si>
    <t>INTRARI MAI</t>
  </si>
  <si>
    <t>CONSUM IUN</t>
  </si>
  <si>
    <t>INTRARI IUN</t>
  </si>
  <si>
    <t>CONSUM TRIM II</t>
  </si>
  <si>
    <t>CONSUM IUL</t>
  </si>
  <si>
    <t>INTRARI IUL</t>
  </si>
  <si>
    <t>CONSUM AUG</t>
  </si>
  <si>
    <t>INTRARI AUG</t>
  </si>
  <si>
    <t>CONSUM SEP</t>
  </si>
  <si>
    <t>INTRARI SEP</t>
  </si>
  <si>
    <t>CONSUM TRIM III</t>
  </si>
  <si>
    <t>CONSUM OCT</t>
  </si>
  <si>
    <t>INTRARI OCT</t>
  </si>
  <si>
    <t>CONSUM NOV</t>
  </si>
  <si>
    <t>INTRARI NOV</t>
  </si>
  <si>
    <t>CONSUM DEC</t>
  </si>
  <si>
    <t>INTRARI DEC</t>
  </si>
  <si>
    <t>CONSUM TRIM IV</t>
  </si>
  <si>
    <t xml:space="preserve">INTRARI TRIM I </t>
  </si>
  <si>
    <t xml:space="preserve">INTRARI TRIM II </t>
  </si>
  <si>
    <t>VENETIA MEDICAL / din 01 aug 2019 / ONCOLOGIE spital</t>
  </si>
  <si>
    <t xml:space="preserve">PNS SPITAL / ctr.1724 (cu CV) = </t>
  </si>
  <si>
    <t xml:space="preserve">INTRARI TRIM III </t>
  </si>
  <si>
    <t>FIBROZA pulmonara</t>
  </si>
  <si>
    <t xml:space="preserve">INTRARI TRIM IV </t>
  </si>
  <si>
    <t>ANEXA</t>
  </si>
  <si>
    <t>PLATI la spitale APR2020</t>
  </si>
  <si>
    <t>PLATI la spitale MAI2020</t>
  </si>
  <si>
    <t>PLATI la spitale IUN2020</t>
  </si>
  <si>
    <t>PLATI la spitale TRIM II 2020</t>
  </si>
  <si>
    <t>PLATI la spitale TRIM III</t>
  </si>
  <si>
    <t>PLATI la spitale IUL</t>
  </si>
  <si>
    <t>PLATI la spitale AUG</t>
  </si>
  <si>
    <t>PLATI la spitale SEP</t>
  </si>
  <si>
    <t>PLATI la spitale OCT</t>
  </si>
  <si>
    <t>PLATI la spitale NOV</t>
  </si>
  <si>
    <t>PLATI la spitale DEC</t>
  </si>
  <si>
    <t>PLATI la spitale TRIM IV</t>
  </si>
  <si>
    <t>COST-VOLUM -Venetia</t>
  </si>
  <si>
    <t>COST-VOLUM -Sp Jud</t>
  </si>
  <si>
    <t>Boli neurologice - SPITAL</t>
  </si>
  <si>
    <t>ART.8</t>
  </si>
  <si>
    <t xml:space="preserve">TOTAL ONCO ---VENETIA  (cu CV) </t>
  </si>
  <si>
    <t xml:space="preserve">TOTAL ONCO --- SP JUD   (cu CV) </t>
  </si>
  <si>
    <t>PLATI la spitale IAN</t>
  </si>
  <si>
    <t>PLATI la spitale FEB</t>
  </si>
  <si>
    <t>PLATI la spitale MAR</t>
  </si>
  <si>
    <t xml:space="preserve">PLATI la spitale TRIM I </t>
  </si>
  <si>
    <t>CA / AN 2021</t>
  </si>
  <si>
    <t>DISPONIBIL din CA/farmacii -AN2021</t>
  </si>
  <si>
    <t>Spital Judetean</t>
  </si>
  <si>
    <t>CV in FARM-ONCO</t>
  </si>
  <si>
    <t>CV in FARM-Muco</t>
  </si>
  <si>
    <t>TOTAL GENERAL P.N.S. (fara DIAL,  RADIOT, HEMOGL)</t>
  </si>
  <si>
    <t>HEMOGLOBINA glicozilata *) - DR. VARZARU + PRAXIS</t>
  </si>
  <si>
    <t>Depasire CA la AN 2021 (daca e cu +)</t>
  </si>
  <si>
    <t>TOTAL COST-VOLUM ONCO</t>
  </si>
  <si>
    <t>TOTAL INTRARI AN2021</t>
  </si>
  <si>
    <t>TOTAL PLATI la spitale  AN2021</t>
  </si>
  <si>
    <t>FINAL 2021</t>
  </si>
  <si>
    <t>CA / IAN 2022</t>
  </si>
  <si>
    <t>CA / FEB 2022</t>
  </si>
  <si>
    <t>Purpura - SPITAL</t>
  </si>
  <si>
    <t xml:space="preserve">PNS pt FARMACII (fara CV) = </t>
  </si>
  <si>
    <t>TOTAL CONSUM AN2021 (cu Art8)</t>
  </si>
  <si>
    <t>STOC la 01.01.2022</t>
  </si>
  <si>
    <t>TOTAL INTRARI AN2022</t>
  </si>
  <si>
    <t>TOTAL PLATI la spitale  AN2022</t>
  </si>
  <si>
    <t>DISPONIBIL din CA/spital - AN 2022</t>
  </si>
  <si>
    <t xml:space="preserve">SENTINTE CIVILE pt CV / ONCO/2021 = </t>
  </si>
  <si>
    <t xml:space="preserve">SENTINTE CIVILE pt CV / ONCO/2022 = </t>
  </si>
  <si>
    <t>CA / MAR 2022</t>
  </si>
  <si>
    <t>CA / TRIM I 2022</t>
  </si>
  <si>
    <t>Sentinte/2021</t>
  </si>
  <si>
    <t>TOTAL CONSUM AN2022 (fara Art8)</t>
  </si>
  <si>
    <t>Tot medic+Art.8</t>
  </si>
  <si>
    <t>Consum mediu</t>
  </si>
  <si>
    <t>CA / APR 2022</t>
  </si>
  <si>
    <t>CA/ 4 luni 2022</t>
  </si>
  <si>
    <t>06/04/2022</t>
  </si>
  <si>
    <t>STOC la 31.03.2022</t>
  </si>
  <si>
    <t>CA / MAI-DEC2022</t>
  </si>
  <si>
    <t>CA / AN 2022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</si>
</sst>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34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4" fillId="0" borderId="0" xfId="0" applyNumberFormat="1" applyFont="1" applyFill="1" applyAlignment="1">
      <alignment/>
    </xf>
    <xf numFmtId="4" fontId="0" fillId="0" borderId="13" xfId="0" applyNumberFormat="1" applyFill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" fontId="0" fillId="0" borderId="16" xfId="0" applyNumberFormat="1" applyFill="1" applyBorder="1" applyAlignment="1">
      <alignment vertical="center"/>
    </xf>
    <xf numFmtId="0" fontId="9" fillId="0" borderId="17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1" fillId="5" borderId="19" xfId="0" applyFont="1" applyFill="1" applyBorder="1" applyAlignment="1">
      <alignment horizontal="center" vertical="center" wrapText="1"/>
    </xf>
    <xf numFmtId="4" fontId="9" fillId="24" borderId="16" xfId="0" applyNumberFormat="1" applyFont="1" applyFill="1" applyBorder="1" applyAlignment="1">
      <alignment vertical="center" wrapText="1"/>
    </xf>
    <xf numFmtId="4" fontId="9" fillId="0" borderId="20" xfId="0" applyNumberFormat="1" applyFont="1" applyFill="1" applyBorder="1" applyAlignment="1">
      <alignment vertical="center" wrapText="1"/>
    </xf>
    <xf numFmtId="4" fontId="4" fillId="0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4" fontId="0" fillId="0" borderId="23" xfId="0" applyNumberFormat="1" applyFill="1" applyBorder="1" applyAlignment="1">
      <alignment vertical="center"/>
    </xf>
    <xf numFmtId="4" fontId="0" fillId="0" borderId="24" xfId="0" applyNumberFormat="1" applyFill="1" applyBorder="1" applyAlignment="1">
      <alignment vertical="center"/>
    </xf>
    <xf numFmtId="4" fontId="0" fillId="0" borderId="25" xfId="0" applyNumberFormat="1" applyFill="1" applyBorder="1" applyAlignment="1">
      <alignment vertical="center"/>
    </xf>
    <xf numFmtId="4" fontId="0" fillId="0" borderId="26" xfId="0" applyNumberFormat="1" applyFill="1" applyBorder="1" applyAlignment="1">
      <alignment vertical="center"/>
    </xf>
    <xf numFmtId="4" fontId="0" fillId="0" borderId="27" xfId="0" applyNumberFormat="1" applyFill="1" applyBorder="1" applyAlignment="1">
      <alignment vertical="center"/>
    </xf>
    <xf numFmtId="4" fontId="0" fillId="0" borderId="28" xfId="0" applyNumberFormat="1" applyFill="1" applyBorder="1" applyAlignment="1">
      <alignment vertical="center"/>
    </xf>
    <xf numFmtId="4" fontId="0" fillId="0" borderId="29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30" xfId="0" applyNumberFormat="1" applyFill="1" applyBorder="1" applyAlignment="1">
      <alignment vertical="center"/>
    </xf>
    <xf numFmtId="4" fontId="0" fillId="0" borderId="31" xfId="0" applyNumberFormat="1" applyFill="1" applyBorder="1" applyAlignment="1">
      <alignment vertical="center"/>
    </xf>
    <xf numFmtId="0" fontId="9" fillId="24" borderId="3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" fontId="0" fillId="0" borderId="33" xfId="0" applyNumberFormat="1" applyFill="1" applyBorder="1" applyAlignment="1">
      <alignment vertical="center"/>
    </xf>
    <xf numFmtId="0" fontId="9" fillId="0" borderId="0" xfId="0" applyFont="1" applyFill="1" applyBorder="1" applyAlignment="1">
      <alignment/>
    </xf>
    <xf numFmtId="4" fontId="11" fillId="0" borderId="14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4" fontId="9" fillId="25" borderId="32" xfId="0" applyNumberFormat="1" applyFont="1" applyFill="1" applyBorder="1" applyAlignment="1">
      <alignment vertical="center"/>
    </xf>
    <xf numFmtId="3" fontId="4" fillId="4" borderId="13" xfId="0" applyNumberFormat="1" applyFont="1" applyFill="1" applyBorder="1" applyAlignment="1">
      <alignment wrapText="1"/>
    </xf>
    <xf numFmtId="4" fontId="0" fillId="0" borderId="34" xfId="0" applyNumberFormat="1" applyFill="1" applyBorder="1" applyAlignment="1">
      <alignment vertical="center"/>
    </xf>
    <xf numFmtId="4" fontId="0" fillId="0" borderId="35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3" fontId="4" fillId="0" borderId="0" xfId="0" applyNumberFormat="1" applyFont="1" applyFill="1" applyAlignment="1">
      <alignment vertical="distributed"/>
    </xf>
    <xf numFmtId="4" fontId="0" fillId="0" borderId="0" xfId="0" applyNumberFormat="1" applyFill="1" applyAlignment="1">
      <alignment vertical="distributed"/>
    </xf>
    <xf numFmtId="0" fontId="0" fillId="0" borderId="0" xfId="0" applyFill="1" applyAlignment="1">
      <alignment vertical="distributed"/>
    </xf>
    <xf numFmtId="4" fontId="0" fillId="0" borderId="36" xfId="0" applyNumberFormat="1" applyFill="1" applyBorder="1" applyAlignment="1">
      <alignment vertical="center"/>
    </xf>
    <xf numFmtId="0" fontId="10" fillId="0" borderId="0" xfId="0" applyFont="1" applyFill="1" applyAlignment="1">
      <alignment vertical="distributed"/>
    </xf>
    <xf numFmtId="4" fontId="4" fillId="0" borderId="2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26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vertical="center"/>
    </xf>
    <xf numFmtId="4" fontId="4" fillId="25" borderId="16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distributed"/>
    </xf>
    <xf numFmtId="4" fontId="4" fillId="25" borderId="32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35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30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 vertical="center"/>
    </xf>
    <xf numFmtId="4" fontId="4" fillId="0" borderId="22" xfId="0" applyNumberFormat="1" applyFont="1" applyFill="1" applyBorder="1" applyAlignment="1">
      <alignment vertical="center"/>
    </xf>
    <xf numFmtId="4" fontId="4" fillId="0" borderId="37" xfId="0" applyNumberFormat="1" applyFont="1" applyFill="1" applyBorder="1" applyAlignment="1">
      <alignment vertical="center"/>
    </xf>
    <xf numFmtId="4" fontId="4" fillId="0" borderId="38" xfId="0" applyNumberFormat="1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vertical="center"/>
    </xf>
    <xf numFmtId="4" fontId="4" fillId="0" borderId="39" xfId="0" applyNumberFormat="1" applyFont="1" applyFill="1" applyBorder="1" applyAlignment="1">
      <alignment vertical="center"/>
    </xf>
    <xf numFmtId="4" fontId="0" fillId="0" borderId="40" xfId="0" applyNumberFormat="1" applyFill="1" applyBorder="1" applyAlignment="1">
      <alignment vertical="center"/>
    </xf>
    <xf numFmtId="4" fontId="0" fillId="0" borderId="41" xfId="0" applyNumberFormat="1" applyFill="1" applyBorder="1" applyAlignment="1">
      <alignment vertical="center"/>
    </xf>
    <xf numFmtId="4" fontId="0" fillId="0" borderId="32" xfId="0" applyNumberFormat="1" applyFill="1" applyBorder="1" applyAlignment="1">
      <alignment vertical="center"/>
    </xf>
    <xf numFmtId="4" fontId="0" fillId="0" borderId="42" xfId="0" applyNumberFormat="1" applyFill="1" applyBorder="1" applyAlignment="1">
      <alignment vertical="center"/>
    </xf>
    <xf numFmtId="3" fontId="9" fillId="4" borderId="13" xfId="0" applyNumberFormat="1" applyFont="1" applyFill="1" applyBorder="1" applyAlignment="1">
      <alignment wrapText="1"/>
    </xf>
    <xf numFmtId="0" fontId="1" fillId="0" borderId="43" xfId="0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0" fillId="0" borderId="45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vertical="center"/>
    </xf>
    <xf numFmtId="4" fontId="4" fillId="0" borderId="45" xfId="0" applyNumberFormat="1" applyFont="1" applyFill="1" applyBorder="1" applyAlignment="1">
      <alignment vertical="center"/>
    </xf>
    <xf numFmtId="4" fontId="4" fillId="0" borderId="36" xfId="0" applyNumberFormat="1" applyFont="1" applyFill="1" applyBorder="1" applyAlignment="1">
      <alignment vertical="center"/>
    </xf>
    <xf numFmtId="4" fontId="4" fillId="25" borderId="46" xfId="0" applyNumberFormat="1" applyFont="1" applyFill="1" applyBorder="1" applyAlignment="1">
      <alignment vertical="center"/>
    </xf>
    <xf numFmtId="4" fontId="4" fillId="4" borderId="13" xfId="0" applyNumberFormat="1" applyFont="1" applyFill="1" applyBorder="1" applyAlignment="1">
      <alignment wrapText="1"/>
    </xf>
    <xf numFmtId="4" fontId="9" fillId="0" borderId="14" xfId="0" applyNumberFormat="1" applyFont="1" applyFill="1" applyBorder="1" applyAlignment="1">
      <alignment vertical="center"/>
    </xf>
    <xf numFmtId="4" fontId="0" fillId="0" borderId="43" xfId="0" applyNumberFormat="1" applyFont="1" applyBorder="1" applyAlignment="1">
      <alignment horizontal="center" vertical="center" wrapText="1"/>
    </xf>
    <xf numFmtId="4" fontId="0" fillId="0" borderId="47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/>
    </xf>
    <xf numFmtId="4" fontId="0" fillId="26" borderId="35" xfId="0" applyNumberFormat="1" applyFont="1" applyFill="1" applyBorder="1" applyAlignment="1">
      <alignment/>
    </xf>
    <xf numFmtId="4" fontId="10" fillId="26" borderId="16" xfId="0" applyNumberFormat="1" applyFont="1" applyFill="1" applyBorder="1" applyAlignment="1">
      <alignment/>
    </xf>
    <xf numFmtId="4" fontId="9" fillId="20" borderId="48" xfId="0" applyNumberFormat="1" applyFont="1" applyFill="1" applyBorder="1" applyAlignment="1">
      <alignment vertical="center"/>
    </xf>
    <xf numFmtId="3" fontId="4" fillId="22" borderId="16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4" fontId="0" fillId="26" borderId="28" xfId="0" applyNumberFormat="1" applyFont="1" applyFill="1" applyBorder="1" applyAlignment="1">
      <alignment/>
    </xf>
    <xf numFmtId="4" fontId="0" fillId="26" borderId="29" xfId="0" applyNumberFormat="1" applyFont="1" applyFill="1" applyBorder="1" applyAlignment="1">
      <alignment/>
    </xf>
    <xf numFmtId="4" fontId="0" fillId="26" borderId="11" xfId="0" applyNumberFormat="1" applyFont="1" applyFill="1" applyBorder="1" applyAlignment="1">
      <alignment/>
    </xf>
    <xf numFmtId="4" fontId="0" fillId="26" borderId="35" xfId="0" applyNumberFormat="1" applyFont="1" applyFill="1" applyBorder="1" applyAlignment="1">
      <alignment/>
    </xf>
    <xf numFmtId="4" fontId="0" fillId="26" borderId="0" xfId="0" applyNumberFormat="1" applyFont="1" applyFill="1" applyAlignment="1">
      <alignment/>
    </xf>
    <xf numFmtId="4" fontId="0" fillId="26" borderId="36" xfId="0" applyNumberFormat="1" applyFont="1" applyFill="1" applyBorder="1" applyAlignment="1">
      <alignment/>
    </xf>
    <xf numFmtId="4" fontId="0" fillId="26" borderId="28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 vertical="center"/>
    </xf>
    <xf numFmtId="4" fontId="0" fillId="26" borderId="29" xfId="0" applyNumberFormat="1" applyFont="1" applyFill="1" applyBorder="1" applyAlignment="1">
      <alignment/>
    </xf>
    <xf numFmtId="4" fontId="0" fillId="0" borderId="49" xfId="0" applyNumberFormat="1" applyFont="1" applyBorder="1" applyAlignment="1">
      <alignment horizontal="center" vertical="center" wrapText="1"/>
    </xf>
    <xf numFmtId="4" fontId="0" fillId="26" borderId="50" xfId="0" applyNumberFormat="1" applyFont="1" applyFill="1" applyBorder="1" applyAlignment="1">
      <alignment/>
    </xf>
    <xf numFmtId="4" fontId="0" fillId="26" borderId="27" xfId="0" applyNumberFormat="1" applyFont="1" applyFill="1" applyBorder="1" applyAlignment="1">
      <alignment/>
    </xf>
    <xf numFmtId="4" fontId="0" fillId="26" borderId="21" xfId="0" applyNumberFormat="1" applyFont="1" applyFill="1" applyBorder="1" applyAlignment="1">
      <alignment/>
    </xf>
    <xf numFmtId="4" fontId="4" fillId="0" borderId="51" xfId="0" applyNumberFormat="1" applyFont="1" applyFill="1" applyBorder="1" applyAlignment="1">
      <alignment vertical="center"/>
    </xf>
    <xf numFmtId="4" fontId="0" fillId="0" borderId="52" xfId="0" applyNumberFormat="1" applyFont="1" applyBorder="1" applyAlignment="1">
      <alignment horizontal="center" vertical="center" wrapText="1"/>
    </xf>
    <xf numFmtId="4" fontId="0" fillId="0" borderId="53" xfId="0" applyNumberFormat="1" applyFont="1" applyBorder="1" applyAlignment="1">
      <alignment horizontal="center" vertical="center" wrapText="1"/>
    </xf>
    <xf numFmtId="4" fontId="0" fillId="0" borderId="54" xfId="0" applyNumberFormat="1" applyFill="1" applyBorder="1" applyAlignment="1">
      <alignment vertical="center"/>
    </xf>
    <xf numFmtId="4" fontId="0" fillId="0" borderId="50" xfId="0" applyNumberFormat="1" applyFill="1" applyBorder="1" applyAlignment="1">
      <alignment vertical="center"/>
    </xf>
    <xf numFmtId="4" fontId="0" fillId="0" borderId="55" xfId="0" applyNumberFormat="1" applyFill="1" applyBorder="1" applyAlignment="1">
      <alignment vertical="center"/>
    </xf>
    <xf numFmtId="4" fontId="0" fillId="0" borderId="56" xfId="0" applyNumberFormat="1" applyFill="1" applyBorder="1" applyAlignment="1">
      <alignment vertical="center"/>
    </xf>
    <xf numFmtId="4" fontId="0" fillId="0" borderId="22" xfId="0" applyNumberFormat="1" applyFill="1" applyBorder="1" applyAlignment="1">
      <alignment vertical="center"/>
    </xf>
    <xf numFmtId="4" fontId="0" fillId="0" borderId="37" xfId="0" applyNumberFormat="1" applyFill="1" applyBorder="1" applyAlignment="1">
      <alignment vertical="center"/>
    </xf>
    <xf numFmtId="4" fontId="0" fillId="0" borderId="57" xfId="0" applyNumberFormat="1" applyFill="1" applyBorder="1" applyAlignment="1">
      <alignment vertical="center"/>
    </xf>
    <xf numFmtId="4" fontId="0" fillId="0" borderId="51" xfId="0" applyNumberFormat="1" applyFill="1" applyBorder="1" applyAlignment="1">
      <alignment vertical="center"/>
    </xf>
    <xf numFmtId="4" fontId="9" fillId="0" borderId="20" xfId="0" applyNumberFormat="1" applyFont="1" applyFill="1" applyBorder="1" applyAlignment="1">
      <alignment/>
    </xf>
    <xf numFmtId="4" fontId="4" fillId="24" borderId="48" xfId="0" applyNumberFormat="1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vertical="distributed"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 vertical="center"/>
    </xf>
    <xf numFmtId="4" fontId="10" fillId="0" borderId="14" xfId="0" applyNumberFormat="1" applyFont="1" applyFill="1" applyBorder="1" applyAlignment="1">
      <alignment vertical="center"/>
    </xf>
    <xf numFmtId="4" fontId="0" fillId="0" borderId="38" xfId="0" applyNumberFormat="1" applyFont="1" applyBorder="1" applyAlignment="1">
      <alignment horizontal="center" vertical="center" wrapText="1"/>
    </xf>
    <xf numFmtId="4" fontId="10" fillId="26" borderId="11" xfId="0" applyNumberFormat="1" applyFont="1" applyFill="1" applyBorder="1" applyAlignment="1">
      <alignment/>
    </xf>
    <xf numFmtId="4" fontId="10" fillId="4" borderId="23" xfId="0" applyNumberFormat="1" applyFont="1" applyFill="1" applyBorder="1" applyAlignment="1">
      <alignment vertical="center"/>
    </xf>
    <xf numFmtId="0" fontId="10" fillId="4" borderId="27" xfId="0" applyFont="1" applyFill="1" applyBorder="1" applyAlignment="1">
      <alignment vertical="center"/>
    </xf>
    <xf numFmtId="0" fontId="10" fillId="4" borderId="23" xfId="0" applyFont="1" applyFill="1" applyBorder="1" applyAlignment="1">
      <alignment vertical="center"/>
    </xf>
    <xf numFmtId="4" fontId="10" fillId="4" borderId="10" xfId="0" applyNumberFormat="1" applyFont="1" applyFill="1" applyBorder="1" applyAlignment="1">
      <alignment vertical="center"/>
    </xf>
    <xf numFmtId="4" fontId="10" fillId="4" borderId="27" xfId="0" applyNumberFormat="1" applyFont="1" applyFill="1" applyBorder="1" applyAlignment="1">
      <alignment vertical="center"/>
    </xf>
    <xf numFmtId="0" fontId="10" fillId="4" borderId="19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4" fontId="9" fillId="4" borderId="11" xfId="0" applyNumberFormat="1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/>
    </xf>
    <xf numFmtId="3" fontId="9" fillId="0" borderId="58" xfId="0" applyNumberFormat="1" applyFont="1" applyFill="1" applyBorder="1" applyAlignment="1">
      <alignment/>
    </xf>
    <xf numFmtId="3" fontId="4" fillId="24" borderId="20" xfId="0" applyNumberFormat="1" applyFont="1" applyFill="1" applyBorder="1" applyAlignment="1">
      <alignment/>
    </xf>
    <xf numFmtId="4" fontId="0" fillId="0" borderId="59" xfId="0" applyNumberFormat="1" applyFill="1" applyBorder="1" applyAlignment="1">
      <alignment vertical="center"/>
    </xf>
    <xf numFmtId="3" fontId="4" fillId="25" borderId="13" xfId="0" applyNumberFormat="1" applyFont="1" applyFill="1" applyBorder="1" applyAlignment="1">
      <alignment/>
    </xf>
    <xf numFmtId="3" fontId="4" fillId="25" borderId="58" xfId="0" applyNumberFormat="1" applyFont="1" applyFill="1" applyBorder="1" applyAlignment="1">
      <alignment/>
    </xf>
    <xf numFmtId="4" fontId="9" fillId="20" borderId="60" xfId="0" applyNumberFormat="1" applyFont="1" applyFill="1" applyBorder="1" applyAlignment="1">
      <alignment vertical="center"/>
    </xf>
    <xf numFmtId="4" fontId="4" fillId="0" borderId="45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distributed"/>
    </xf>
    <xf numFmtId="4" fontId="8" fillId="0" borderId="0" xfId="0" applyNumberFormat="1" applyFont="1" applyFill="1" applyAlignment="1">
      <alignment vertical="distributed"/>
    </xf>
    <xf numFmtId="4" fontId="4" fillId="25" borderId="0" xfId="0" applyNumberFormat="1" applyFont="1" applyFill="1" applyBorder="1" applyAlignment="1">
      <alignment horizontal="center"/>
    </xf>
    <xf numFmtId="4" fontId="0" fillId="0" borderId="61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4" fillId="0" borderId="62" xfId="0" applyNumberFormat="1" applyFont="1" applyFill="1" applyBorder="1" applyAlignment="1">
      <alignment vertical="center"/>
    </xf>
    <xf numFmtId="4" fontId="4" fillId="0" borderId="59" xfId="0" applyNumberFormat="1" applyFont="1" applyFill="1" applyBorder="1" applyAlignment="1">
      <alignment vertical="center"/>
    </xf>
    <xf numFmtId="4" fontId="4" fillId="4" borderId="40" xfId="0" applyNumberFormat="1" applyFont="1" applyFill="1" applyBorder="1" applyAlignment="1">
      <alignment wrapText="1"/>
    </xf>
    <xf numFmtId="4" fontId="4" fillId="0" borderId="20" xfId="0" applyNumberFormat="1" applyFont="1" applyFill="1" applyBorder="1" applyAlignment="1">
      <alignment/>
    </xf>
    <xf numFmtId="4" fontId="4" fillId="25" borderId="13" xfId="0" applyNumberFormat="1" applyFont="1" applyFill="1" applyBorder="1" applyAlignment="1">
      <alignment/>
    </xf>
    <xf numFmtId="4" fontId="4" fillId="25" borderId="58" xfId="0" applyNumberFormat="1" applyFont="1" applyFill="1" applyBorder="1" applyAlignment="1">
      <alignment/>
    </xf>
    <xf numFmtId="3" fontId="4" fillId="26" borderId="16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vertical="center"/>
    </xf>
    <xf numFmtId="3" fontId="4" fillId="25" borderId="16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20" borderId="16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/>
    </xf>
    <xf numFmtId="3" fontId="4" fillId="5" borderId="58" xfId="0" applyNumberFormat="1" applyFont="1" applyFill="1" applyBorder="1" applyAlignment="1">
      <alignment wrapText="1"/>
    </xf>
    <xf numFmtId="3" fontId="8" fillId="3" borderId="16" xfId="0" applyNumberFormat="1" applyFont="1" applyFill="1" applyBorder="1" applyAlignment="1">
      <alignment vertical="distributed"/>
    </xf>
    <xf numFmtId="3" fontId="8" fillId="3" borderId="2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/>
    </xf>
    <xf numFmtId="4" fontId="9" fillId="0" borderId="13" xfId="0" applyNumberFormat="1" applyFont="1" applyFill="1" applyBorder="1" applyAlignment="1">
      <alignment/>
    </xf>
    <xf numFmtId="0" fontId="9" fillId="4" borderId="43" xfId="0" applyFont="1" applyFill="1" applyBorder="1" applyAlignment="1">
      <alignment vertical="center"/>
    </xf>
    <xf numFmtId="4" fontId="10" fillId="4" borderId="63" xfId="0" applyNumberFormat="1" applyFont="1" applyFill="1" applyBorder="1" applyAlignment="1">
      <alignment vertical="center"/>
    </xf>
    <xf numFmtId="4" fontId="9" fillId="4" borderId="16" xfId="0" applyNumberFormat="1" applyFont="1" applyFill="1" applyBorder="1" applyAlignment="1">
      <alignment vertical="center"/>
    </xf>
    <xf numFmtId="0" fontId="10" fillId="4" borderId="40" xfId="0" applyFont="1" applyFill="1" applyBorder="1" applyAlignment="1">
      <alignment vertical="center"/>
    </xf>
    <xf numFmtId="0" fontId="10" fillId="4" borderId="64" xfId="0" applyFont="1" applyFill="1" applyBorder="1" applyAlignment="1">
      <alignment vertical="center"/>
    </xf>
    <xf numFmtId="4" fontId="8" fillId="3" borderId="16" xfId="0" applyNumberFormat="1" applyFont="1" applyFill="1" applyBorder="1" applyAlignment="1">
      <alignment vertical="distributed"/>
    </xf>
    <xf numFmtId="4" fontId="8" fillId="3" borderId="20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vertical="center" wrapText="1"/>
    </xf>
    <xf numFmtId="4" fontId="4" fillId="0" borderId="49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4" fillId="24" borderId="60" xfId="0" applyNumberFormat="1" applyFont="1" applyFill="1" applyBorder="1" applyAlignment="1">
      <alignment vertical="center" wrapText="1"/>
    </xf>
    <xf numFmtId="4" fontId="8" fillId="25" borderId="13" xfId="0" applyNumberFormat="1" applyFont="1" applyFill="1" applyBorder="1" applyAlignment="1">
      <alignment/>
    </xf>
    <xf numFmtId="4" fontId="8" fillId="25" borderId="58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4" fontId="8" fillId="4" borderId="13" xfId="0" applyNumberFormat="1" applyFont="1" applyFill="1" applyBorder="1" applyAlignment="1">
      <alignment wrapText="1"/>
    </xf>
    <xf numFmtId="4" fontId="9" fillId="0" borderId="0" xfId="0" applyNumberFormat="1" applyFont="1" applyFill="1" applyAlignment="1">
      <alignment vertical="distributed"/>
    </xf>
    <xf numFmtId="4" fontId="9" fillId="3" borderId="16" xfId="0" applyNumberFormat="1" applyFont="1" applyFill="1" applyBorder="1" applyAlignment="1">
      <alignment vertical="distributed"/>
    </xf>
    <xf numFmtId="4" fontId="9" fillId="3" borderId="20" xfId="0" applyNumberFormat="1" applyFont="1" applyFill="1" applyBorder="1" applyAlignment="1">
      <alignment horizontal="right"/>
    </xf>
    <xf numFmtId="4" fontId="9" fillId="0" borderId="26" xfId="0" applyNumberFormat="1" applyFont="1" applyFill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4" fontId="9" fillId="25" borderId="16" xfId="0" applyNumberFormat="1" applyFont="1" applyFill="1" applyBorder="1" applyAlignment="1">
      <alignment vertical="center"/>
    </xf>
    <xf numFmtId="4" fontId="9" fillId="0" borderId="38" xfId="0" applyNumberFormat="1" applyFont="1" applyFill="1" applyBorder="1" applyAlignment="1">
      <alignment vertical="center"/>
    </xf>
    <xf numFmtId="4" fontId="9" fillId="0" borderId="34" xfId="0" applyNumberFormat="1" applyFont="1" applyFill="1" applyBorder="1" applyAlignment="1">
      <alignment vertical="center"/>
    </xf>
    <xf numFmtId="4" fontId="9" fillId="25" borderId="13" xfId="0" applyNumberFormat="1" applyFont="1" applyFill="1" applyBorder="1" applyAlignment="1">
      <alignment/>
    </xf>
    <xf numFmtId="4" fontId="9" fillId="25" borderId="58" xfId="0" applyNumberFormat="1" applyFont="1" applyFill="1" applyBorder="1" applyAlignment="1">
      <alignment/>
    </xf>
    <xf numFmtId="4" fontId="9" fillId="4" borderId="13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4" fontId="31" fillId="0" borderId="0" xfId="0" applyNumberFormat="1" applyFont="1" applyFill="1" applyAlignment="1">
      <alignment vertical="distributed"/>
    </xf>
    <xf numFmtId="4" fontId="10" fillId="0" borderId="14" xfId="0" applyNumberFormat="1" applyFont="1" applyFill="1" applyBorder="1" applyAlignment="1">
      <alignment vertical="center"/>
    </xf>
    <xf numFmtId="4" fontId="10" fillId="0" borderId="16" xfId="0" applyNumberFormat="1" applyFont="1" applyFill="1" applyBorder="1" applyAlignment="1">
      <alignment vertical="center"/>
    </xf>
    <xf numFmtId="4" fontId="10" fillId="0" borderId="65" xfId="0" applyNumberFormat="1" applyFont="1" applyFill="1" applyBorder="1" applyAlignment="1">
      <alignment vertical="center"/>
    </xf>
    <xf numFmtId="4" fontId="9" fillId="20" borderId="48" xfId="0" applyNumberFormat="1" applyFont="1" applyFill="1" applyBorder="1" applyAlignment="1">
      <alignment vertical="center"/>
    </xf>
    <xf numFmtId="4" fontId="9" fillId="0" borderId="58" xfId="0" applyNumberFormat="1" applyFont="1" applyFill="1" applyBorder="1" applyAlignment="1">
      <alignment/>
    </xf>
    <xf numFmtId="4" fontId="9" fillId="24" borderId="2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/>
    </xf>
    <xf numFmtId="4" fontId="8" fillId="20" borderId="16" xfId="0" applyNumberFormat="1" applyFont="1" applyFill="1" applyBorder="1" applyAlignment="1">
      <alignment vertical="center"/>
    </xf>
    <xf numFmtId="0" fontId="13" fillId="3" borderId="37" xfId="0" applyFont="1" applyFill="1" applyBorder="1" applyAlignment="1">
      <alignment wrapText="1"/>
    </xf>
    <xf numFmtId="14" fontId="0" fillId="0" borderId="0" xfId="0" applyNumberFormat="1" applyFill="1" applyAlignment="1">
      <alignment wrapText="1"/>
    </xf>
    <xf numFmtId="4" fontId="10" fillId="0" borderId="65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4" fontId="9" fillId="25" borderId="66" xfId="0" applyNumberFormat="1" applyFont="1" applyFill="1" applyBorder="1" applyAlignment="1">
      <alignment vertical="center"/>
    </xf>
    <xf numFmtId="4" fontId="4" fillId="25" borderId="66" xfId="0" applyNumberFormat="1" applyFont="1" applyFill="1" applyBorder="1" applyAlignment="1">
      <alignment vertical="center"/>
    </xf>
    <xf numFmtId="4" fontId="8" fillId="20" borderId="53" xfId="0" applyNumberFormat="1" applyFont="1" applyFill="1" applyBorder="1" applyAlignment="1">
      <alignment vertical="center"/>
    </xf>
    <xf numFmtId="4" fontId="0" fillId="0" borderId="46" xfId="0" applyNumberFormat="1" applyFill="1" applyBorder="1" applyAlignment="1">
      <alignment vertical="center"/>
    </xf>
    <xf numFmtId="3" fontId="4" fillId="25" borderId="32" xfId="0" applyNumberFormat="1" applyFont="1" applyFill="1" applyBorder="1" applyAlignment="1">
      <alignment vertical="center"/>
    </xf>
    <xf numFmtId="4" fontId="8" fillId="3" borderId="32" xfId="0" applyNumberFormat="1" applyFont="1" applyFill="1" applyBorder="1" applyAlignment="1">
      <alignment vertical="distributed"/>
    </xf>
    <xf numFmtId="4" fontId="8" fillId="3" borderId="49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 vertical="center"/>
    </xf>
    <xf numFmtId="4" fontId="8" fillId="20" borderId="67" xfId="0" applyNumberFormat="1" applyFont="1" applyFill="1" applyBorder="1" applyAlignment="1">
      <alignment vertical="center"/>
    </xf>
    <xf numFmtId="4" fontId="4" fillId="25" borderId="40" xfId="0" applyNumberFormat="1" applyFont="1" applyFill="1" applyBorder="1" applyAlignment="1">
      <alignment/>
    </xf>
    <xf numFmtId="4" fontId="4" fillId="25" borderId="64" xfId="0" applyNumberFormat="1" applyFont="1" applyFill="1" applyBorder="1" applyAlignment="1">
      <alignment/>
    </xf>
    <xf numFmtId="4" fontId="4" fillId="0" borderId="49" xfId="0" applyNumberFormat="1" applyFont="1" applyFill="1" applyBorder="1" applyAlignment="1">
      <alignment/>
    </xf>
    <xf numFmtId="3" fontId="4" fillId="5" borderId="64" xfId="0" applyNumberFormat="1" applyFont="1" applyFill="1" applyBorder="1" applyAlignment="1">
      <alignment wrapText="1"/>
    </xf>
    <xf numFmtId="4" fontId="8" fillId="3" borderId="66" xfId="0" applyNumberFormat="1" applyFont="1" applyFill="1" applyBorder="1" applyAlignment="1">
      <alignment vertical="distributed"/>
    </xf>
    <xf numFmtId="4" fontId="8" fillId="3" borderId="68" xfId="0" applyNumberFormat="1" applyFont="1" applyFill="1" applyBorder="1" applyAlignment="1">
      <alignment horizontal="right"/>
    </xf>
    <xf numFmtId="4" fontId="8" fillId="20" borderId="66" xfId="0" applyNumberFormat="1" applyFont="1" applyFill="1" applyBorder="1" applyAlignment="1">
      <alignment vertical="center"/>
    </xf>
    <xf numFmtId="4" fontId="4" fillId="25" borderId="69" xfId="0" applyNumberFormat="1" applyFont="1" applyFill="1" applyBorder="1" applyAlignment="1">
      <alignment/>
    </xf>
    <xf numFmtId="4" fontId="4" fillId="25" borderId="70" xfId="0" applyNumberFormat="1" applyFont="1" applyFill="1" applyBorder="1" applyAlignment="1">
      <alignment/>
    </xf>
    <xf numFmtId="4" fontId="4" fillId="0" borderId="68" xfId="0" applyNumberFormat="1" applyFont="1" applyFill="1" applyBorder="1" applyAlignment="1">
      <alignment/>
    </xf>
    <xf numFmtId="4" fontId="4" fillId="4" borderId="69" xfId="0" applyNumberFormat="1" applyFont="1" applyFill="1" applyBorder="1" applyAlignment="1">
      <alignment wrapText="1"/>
    </xf>
    <xf numFmtId="3" fontId="4" fillId="5" borderId="70" xfId="0" applyNumberFormat="1" applyFont="1" applyFill="1" applyBorder="1" applyAlignment="1">
      <alignment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vertical="center" wrapText="1"/>
    </xf>
    <xf numFmtId="4" fontId="4" fillId="0" borderId="63" xfId="0" applyNumberFormat="1" applyFont="1" applyFill="1" applyBorder="1" applyAlignment="1">
      <alignment vertical="center"/>
    </xf>
    <xf numFmtId="4" fontId="4" fillId="0" borderId="71" xfId="0" applyNumberFormat="1" applyFont="1" applyFill="1" applyBorder="1" applyAlignment="1">
      <alignment vertical="center"/>
    </xf>
    <xf numFmtId="4" fontId="4" fillId="0" borderId="72" xfId="0" applyNumberFormat="1" applyFont="1" applyFill="1" applyBorder="1" applyAlignment="1">
      <alignment vertical="center"/>
    </xf>
    <xf numFmtId="4" fontId="0" fillId="0" borderId="63" xfId="0" applyNumberFormat="1" applyFill="1" applyBorder="1" applyAlignment="1">
      <alignment vertical="center"/>
    </xf>
    <xf numFmtId="4" fontId="0" fillId="0" borderId="71" xfId="0" applyNumberFormat="1" applyFill="1" applyBorder="1" applyAlignment="1">
      <alignment vertical="center"/>
    </xf>
    <xf numFmtId="4" fontId="0" fillId="0" borderId="72" xfId="0" applyNumberFormat="1" applyFill="1" applyBorder="1" applyAlignment="1">
      <alignment vertical="center"/>
    </xf>
    <xf numFmtId="4" fontId="0" fillId="0" borderId="73" xfId="0" applyNumberFormat="1" applyFill="1" applyBorder="1" applyAlignment="1">
      <alignment vertical="center"/>
    </xf>
    <xf numFmtId="4" fontId="0" fillId="0" borderId="48" xfId="0" applyNumberFormat="1" applyFill="1" applyBorder="1" applyAlignment="1">
      <alignment vertical="center"/>
    </xf>
    <xf numFmtId="4" fontId="0" fillId="0" borderId="60" xfId="0" applyNumberFormat="1" applyFill="1" applyBorder="1" applyAlignment="1">
      <alignment vertical="center"/>
    </xf>
    <xf numFmtId="4" fontId="4" fillId="0" borderId="73" xfId="0" applyNumberFormat="1" applyFont="1" applyFill="1" applyBorder="1" applyAlignment="1">
      <alignment vertical="center"/>
    </xf>
    <xf numFmtId="4" fontId="0" fillId="0" borderId="74" xfId="0" applyNumberFormat="1" applyFill="1" applyBorder="1" applyAlignment="1">
      <alignment vertical="center"/>
    </xf>
    <xf numFmtId="4" fontId="9" fillId="0" borderId="72" xfId="0" applyNumberFormat="1" applyFont="1" applyFill="1" applyBorder="1" applyAlignment="1">
      <alignment vertical="center"/>
    </xf>
    <xf numFmtId="4" fontId="10" fillId="0" borderId="48" xfId="0" applyNumberFormat="1" applyFont="1" applyFill="1" applyBorder="1" applyAlignment="1">
      <alignment vertical="center"/>
    </xf>
    <xf numFmtId="4" fontId="9" fillId="4" borderId="63" xfId="0" applyNumberFormat="1" applyFont="1" applyFill="1" applyBorder="1" applyAlignment="1">
      <alignment vertical="center"/>
    </xf>
    <xf numFmtId="4" fontId="4" fillId="0" borderId="43" xfId="0" applyNumberFormat="1" applyFont="1" applyFill="1" applyBorder="1" applyAlignment="1">
      <alignment vertical="center"/>
    </xf>
    <xf numFmtId="4" fontId="4" fillId="0" borderId="75" xfId="0" applyNumberFormat="1" applyFont="1" applyFill="1" applyBorder="1" applyAlignment="1">
      <alignment vertical="center"/>
    </xf>
    <xf numFmtId="4" fontId="0" fillId="0" borderId="43" xfId="0" applyNumberFormat="1" applyFill="1" applyBorder="1" applyAlignment="1">
      <alignment vertical="center"/>
    </xf>
    <xf numFmtId="4" fontId="0" fillId="0" borderId="75" xfId="0" applyNumberFormat="1" applyFill="1" applyBorder="1" applyAlignment="1">
      <alignment vertical="center"/>
    </xf>
    <xf numFmtId="4" fontId="0" fillId="0" borderId="76" xfId="0" applyNumberFormat="1" applyFill="1" applyBorder="1" applyAlignment="1">
      <alignment vertical="center"/>
    </xf>
    <xf numFmtId="4" fontId="0" fillId="0" borderId="47" xfId="0" applyNumberFormat="1" applyFill="1" applyBorder="1" applyAlignment="1">
      <alignment vertical="center"/>
    </xf>
    <xf numFmtId="4" fontId="0" fillId="0" borderId="53" xfId="0" applyNumberFormat="1" applyFill="1" applyBorder="1" applyAlignment="1">
      <alignment vertical="center"/>
    </xf>
    <xf numFmtId="4" fontId="0" fillId="0" borderId="67" xfId="0" applyNumberFormat="1" applyFill="1" applyBorder="1" applyAlignment="1">
      <alignment vertical="center"/>
    </xf>
    <xf numFmtId="4" fontId="4" fillId="0" borderId="47" xfId="0" applyNumberFormat="1" applyFont="1" applyFill="1" applyBorder="1" applyAlignment="1">
      <alignment vertical="center"/>
    </xf>
    <xf numFmtId="4" fontId="0" fillId="0" borderId="77" xfId="0" applyNumberFormat="1" applyFill="1" applyBorder="1" applyAlignment="1">
      <alignment vertical="center"/>
    </xf>
    <xf numFmtId="4" fontId="9" fillId="0" borderId="76" xfId="0" applyNumberFormat="1" applyFont="1" applyFill="1" applyBorder="1" applyAlignment="1">
      <alignment vertical="center"/>
    </xf>
    <xf numFmtId="4" fontId="10" fillId="0" borderId="53" xfId="0" applyNumberFormat="1" applyFont="1" applyFill="1" applyBorder="1" applyAlignment="1">
      <alignment vertical="center"/>
    </xf>
    <xf numFmtId="3" fontId="5" fillId="20" borderId="16" xfId="0" applyNumberFormat="1" applyFont="1" applyFill="1" applyBorder="1" applyAlignment="1">
      <alignment vertical="center"/>
    </xf>
    <xf numFmtId="4" fontId="4" fillId="20" borderId="11" xfId="0" applyNumberFormat="1" applyFont="1" applyFill="1" applyBorder="1" applyAlignment="1">
      <alignment vertical="center"/>
    </xf>
    <xf numFmtId="4" fontId="4" fillId="20" borderId="35" xfId="0" applyNumberFormat="1" applyFont="1" applyFill="1" applyBorder="1" applyAlignment="1">
      <alignment vertical="center"/>
    </xf>
    <xf numFmtId="4" fontId="4" fillId="20" borderId="34" xfId="0" applyNumberFormat="1" applyFont="1" applyFill="1" applyBorder="1" applyAlignment="1">
      <alignment vertical="center"/>
    </xf>
    <xf numFmtId="4" fontId="0" fillId="20" borderId="34" xfId="0" applyNumberFormat="1" applyFill="1" applyBorder="1" applyAlignment="1">
      <alignment vertical="center"/>
    </xf>
    <xf numFmtId="4" fontId="0" fillId="20" borderId="46" xfId="0" applyNumberFormat="1" applyFill="1" applyBorder="1" applyAlignment="1">
      <alignment vertical="center"/>
    </xf>
    <xf numFmtId="4" fontId="0" fillId="20" borderId="55" xfId="0" applyNumberFormat="1" applyFill="1" applyBorder="1" applyAlignment="1">
      <alignment vertical="center"/>
    </xf>
    <xf numFmtId="4" fontId="0" fillId="20" borderId="35" xfId="0" applyNumberFormat="1" applyFill="1" applyBorder="1" applyAlignment="1">
      <alignment vertical="center"/>
    </xf>
    <xf numFmtId="4" fontId="0" fillId="20" borderId="11" xfId="0" applyNumberFormat="1" applyFill="1" applyBorder="1" applyAlignment="1">
      <alignment vertical="center"/>
    </xf>
    <xf numFmtId="4" fontId="0" fillId="20" borderId="36" xfId="0" applyNumberFormat="1" applyFill="1" applyBorder="1" applyAlignment="1">
      <alignment vertical="center"/>
    </xf>
    <xf numFmtId="4" fontId="0" fillId="20" borderId="16" xfId="0" applyNumberFormat="1" applyFill="1" applyBorder="1" applyAlignment="1">
      <alignment vertical="center"/>
    </xf>
    <xf numFmtId="4" fontId="0" fillId="20" borderId="32" xfId="0" applyNumberFormat="1" applyFill="1" applyBorder="1" applyAlignment="1">
      <alignment vertical="center"/>
    </xf>
    <xf numFmtId="4" fontId="4" fillId="20" borderId="36" xfId="0" applyNumberFormat="1" applyFont="1" applyFill="1" applyBorder="1" applyAlignment="1">
      <alignment vertical="center"/>
    </xf>
    <xf numFmtId="4" fontId="9" fillId="20" borderId="34" xfId="0" applyNumberFormat="1" applyFont="1" applyFill="1" applyBorder="1" applyAlignment="1">
      <alignment vertical="center"/>
    </xf>
    <xf numFmtId="4" fontId="10" fillId="20" borderId="16" xfId="0" applyNumberFormat="1" applyFont="1" applyFill="1" applyBorder="1" applyAlignment="1">
      <alignment vertical="center"/>
    </xf>
    <xf numFmtId="4" fontId="9" fillId="20" borderId="11" xfId="0" applyNumberFormat="1" applyFont="1" applyFill="1" applyBorder="1" applyAlignment="1">
      <alignment vertical="center"/>
    </xf>
    <xf numFmtId="4" fontId="8" fillId="20" borderId="16" xfId="0" applyNumberFormat="1" applyFont="1" applyFill="1" applyBorder="1" applyAlignment="1">
      <alignment vertical="center"/>
    </xf>
    <xf numFmtId="4" fontId="9" fillId="20" borderId="16" xfId="0" applyNumberFormat="1" applyFont="1" applyFill="1" applyBorder="1" applyAlignment="1">
      <alignment vertical="center"/>
    </xf>
    <xf numFmtId="4" fontId="9" fillId="24" borderId="48" xfId="0" applyNumberFormat="1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25" borderId="16" xfId="0" applyNumberFormat="1" applyFont="1" applyFill="1" applyBorder="1" applyAlignment="1">
      <alignment vertical="center"/>
    </xf>
    <xf numFmtId="3" fontId="5" fillId="5" borderId="48" xfId="0" applyNumberFormat="1" applyFont="1" applyFill="1" applyBorder="1" applyAlignment="1">
      <alignment vertical="center"/>
    </xf>
    <xf numFmtId="3" fontId="5" fillId="5" borderId="53" xfId="0" applyNumberFormat="1" applyFont="1" applyFill="1" applyBorder="1" applyAlignment="1">
      <alignment vertical="center"/>
    </xf>
    <xf numFmtId="4" fontId="4" fillId="20" borderId="66" xfId="0" applyNumberFormat="1" applyFont="1" applyFill="1" applyBorder="1" applyAlignment="1">
      <alignment vertical="center" wrapText="1"/>
    </xf>
    <xf numFmtId="4" fontId="4" fillId="20" borderId="27" xfId="0" applyNumberFormat="1" applyFont="1" applyFill="1" applyBorder="1" applyAlignment="1">
      <alignment vertical="center"/>
    </xf>
    <xf numFmtId="4" fontId="0" fillId="26" borderId="78" xfId="0" applyNumberFormat="1" applyFont="1" applyFill="1" applyBorder="1" applyAlignment="1">
      <alignment/>
    </xf>
    <xf numFmtId="4" fontId="0" fillId="0" borderId="79" xfId="0" applyNumberFormat="1" applyFont="1" applyBorder="1" applyAlignment="1">
      <alignment horizontal="center" vertical="center" wrapText="1"/>
    </xf>
    <xf numFmtId="4" fontId="0" fillId="0" borderId="80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4" fontId="0" fillId="0" borderId="62" xfId="0" applyNumberFormat="1" applyFill="1" applyBorder="1" applyAlignment="1">
      <alignment vertical="center"/>
    </xf>
    <xf numFmtId="4" fontId="0" fillId="0" borderId="76" xfId="0" applyNumberFormat="1" applyFont="1" applyBorder="1" applyAlignment="1">
      <alignment horizontal="center" vertical="center" wrapText="1"/>
    </xf>
    <xf numFmtId="4" fontId="0" fillId="20" borderId="28" xfId="0" applyNumberFormat="1" applyFill="1" applyBorder="1" applyAlignment="1">
      <alignment vertical="center"/>
    </xf>
    <xf numFmtId="3" fontId="5" fillId="25" borderId="15" xfId="0" applyNumberFormat="1" applyFont="1" applyFill="1" applyBorder="1" applyAlignment="1">
      <alignment vertical="center"/>
    </xf>
    <xf numFmtId="3" fontId="9" fillId="24" borderId="20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vertical="center"/>
    </xf>
    <xf numFmtId="4" fontId="4" fillId="10" borderId="16" xfId="0" applyNumberFormat="1" applyFont="1" applyFill="1" applyBorder="1" applyAlignment="1">
      <alignment vertical="center"/>
    </xf>
    <xf numFmtId="4" fontId="8" fillId="0" borderId="16" xfId="0" applyNumberFormat="1" applyFont="1" applyFill="1" applyBorder="1" applyAlignment="1">
      <alignment vertical="center"/>
    </xf>
    <xf numFmtId="4" fontId="8" fillId="0" borderId="65" xfId="0" applyNumberFormat="1" applyFont="1" applyFill="1" applyBorder="1" applyAlignment="1">
      <alignment vertical="center"/>
    </xf>
    <xf numFmtId="4" fontId="4" fillId="20" borderId="50" xfId="0" applyNumberFormat="1" applyFont="1" applyFill="1" applyBorder="1" applyAlignment="1">
      <alignment vertical="center"/>
    </xf>
    <xf numFmtId="3" fontId="4" fillId="8" borderId="16" xfId="0" applyNumberFormat="1" applyFont="1" applyFill="1" applyBorder="1" applyAlignment="1">
      <alignment vertical="center"/>
    </xf>
    <xf numFmtId="4" fontId="4" fillId="8" borderId="16" xfId="0" applyNumberFormat="1" applyFont="1" applyFill="1" applyBorder="1" applyAlignment="1">
      <alignment vertical="center"/>
    </xf>
    <xf numFmtId="4" fontId="4" fillId="8" borderId="32" xfId="0" applyNumberFormat="1" applyFont="1" applyFill="1" applyBorder="1" applyAlignment="1">
      <alignment vertical="center"/>
    </xf>
    <xf numFmtId="4" fontId="8" fillId="8" borderId="16" xfId="0" applyNumberFormat="1" applyFont="1" applyFill="1" applyBorder="1" applyAlignment="1">
      <alignment vertical="center"/>
    </xf>
    <xf numFmtId="4" fontId="4" fillId="8" borderId="66" xfId="0" applyNumberFormat="1" applyFont="1" applyFill="1" applyBorder="1" applyAlignment="1">
      <alignment vertical="center"/>
    </xf>
    <xf numFmtId="4" fontId="9" fillId="8" borderId="16" xfId="0" applyNumberFormat="1" applyFont="1" applyFill="1" applyBorder="1" applyAlignment="1">
      <alignment vertical="center"/>
    </xf>
    <xf numFmtId="3" fontId="9" fillId="0" borderId="40" xfId="0" applyNumberFormat="1" applyFont="1" applyFill="1" applyBorder="1" applyAlignment="1">
      <alignment/>
    </xf>
    <xf numFmtId="3" fontId="9" fillId="0" borderId="64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 vertical="center"/>
    </xf>
    <xf numFmtId="0" fontId="32" fillId="0" borderId="16" xfId="0" applyFont="1" applyFill="1" applyBorder="1" applyAlignment="1">
      <alignment vertical="center" wrapText="1"/>
    </xf>
    <xf numFmtId="3" fontId="4" fillId="0" borderId="22" xfId="0" applyNumberFormat="1" applyFont="1" applyFill="1" applyBorder="1" applyAlignment="1">
      <alignment vertical="center"/>
    </xf>
    <xf numFmtId="3" fontId="4" fillId="25" borderId="11" xfId="0" applyNumberFormat="1" applyFont="1" applyFill="1" applyBorder="1" applyAlignment="1">
      <alignment vertical="center"/>
    </xf>
    <xf numFmtId="4" fontId="8" fillId="25" borderId="32" xfId="0" applyNumberFormat="1" applyFont="1" applyFill="1" applyBorder="1" applyAlignment="1">
      <alignment vertical="center"/>
    </xf>
    <xf numFmtId="3" fontId="4" fillId="22" borderId="11" xfId="0" applyNumberFormat="1" applyFont="1" applyFill="1" applyBorder="1" applyAlignment="1">
      <alignment vertical="center"/>
    </xf>
    <xf numFmtId="3" fontId="4" fillId="20" borderId="11" xfId="0" applyNumberFormat="1" applyFont="1" applyFill="1" applyBorder="1" applyAlignment="1">
      <alignment vertical="center"/>
    </xf>
    <xf numFmtId="3" fontId="4" fillId="5" borderId="11" xfId="0" applyNumberFormat="1" applyFont="1" applyFill="1" applyBorder="1" applyAlignment="1">
      <alignment vertical="center"/>
    </xf>
    <xf numFmtId="3" fontId="4" fillId="3" borderId="23" xfId="0" applyNumberFormat="1" applyFont="1" applyFill="1" applyBorder="1" applyAlignment="1">
      <alignment vertical="distributed"/>
    </xf>
    <xf numFmtId="3" fontId="9" fillId="24" borderId="53" xfId="0" applyNumberFormat="1" applyFont="1" applyFill="1" applyBorder="1" applyAlignment="1">
      <alignment wrapText="1"/>
    </xf>
    <xf numFmtId="3" fontId="9" fillId="4" borderId="16" xfId="0" applyNumberFormat="1" applyFont="1" applyFill="1" applyBorder="1" applyAlignment="1">
      <alignment wrapText="1"/>
    </xf>
    <xf numFmtId="3" fontId="4" fillId="0" borderId="0" xfId="0" applyNumberFormat="1" applyFont="1" applyFill="1" applyAlignment="1" quotePrefix="1">
      <alignment vertical="center"/>
    </xf>
    <xf numFmtId="4" fontId="8" fillId="24" borderId="32" xfId="0" applyNumberFormat="1" applyFont="1" applyFill="1" applyBorder="1" applyAlignment="1">
      <alignment horizontal="center"/>
    </xf>
    <xf numFmtId="3" fontId="4" fillId="0" borderId="68" xfId="0" applyNumberFormat="1" applyFont="1" applyFill="1" applyBorder="1" applyAlignment="1" quotePrefix="1">
      <alignment horizontal="left"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22" borderId="36" xfId="0" applyNumberFormat="1" applyFont="1" applyFill="1" applyBorder="1" applyAlignment="1">
      <alignment vertical="center"/>
    </xf>
    <xf numFmtId="3" fontId="4" fillId="25" borderId="36" xfId="0" applyNumberFormat="1" applyFont="1" applyFill="1" applyBorder="1" applyAlignment="1">
      <alignment vertical="center"/>
    </xf>
    <xf numFmtId="3" fontId="4" fillId="20" borderId="36" xfId="0" applyNumberFormat="1" applyFont="1" applyFill="1" applyBorder="1" applyAlignment="1">
      <alignment vertical="center"/>
    </xf>
    <xf numFmtId="3" fontId="4" fillId="5" borderId="36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/>
    </xf>
    <xf numFmtId="0" fontId="10" fillId="0" borderId="65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" fontId="4" fillId="0" borderId="65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4" fontId="8" fillId="25" borderId="16" xfId="0" applyNumberFormat="1" applyFont="1" applyFill="1" applyBorder="1" applyAlignment="1">
      <alignment vertical="center"/>
    </xf>
    <xf numFmtId="4" fontId="4" fillId="10" borderId="15" xfId="0" applyNumberFormat="1" applyFont="1" applyFill="1" applyBorder="1" applyAlignment="1">
      <alignment vertical="center"/>
    </xf>
    <xf numFmtId="4" fontId="4" fillId="10" borderId="14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8" fillId="5" borderId="16" xfId="0" applyNumberFormat="1" applyFont="1" applyFill="1" applyBorder="1" applyAlignment="1">
      <alignment vertical="center"/>
    </xf>
    <xf numFmtId="3" fontId="9" fillId="5" borderId="58" xfId="0" applyNumberFormat="1" applyFont="1" applyFill="1" applyBorder="1" applyAlignment="1">
      <alignment wrapText="1"/>
    </xf>
    <xf numFmtId="0" fontId="33" fillId="24" borderId="34" xfId="0" applyFont="1" applyFill="1" applyBorder="1" applyAlignment="1">
      <alignment wrapText="1"/>
    </xf>
    <xf numFmtId="4" fontId="8" fillId="20" borderId="19" xfId="0" applyNumberFormat="1" applyFont="1" applyFill="1" applyBorder="1" applyAlignment="1">
      <alignment horizontal="center" vertical="center" wrapText="1"/>
    </xf>
    <xf numFmtId="4" fontId="8" fillId="20" borderId="39" xfId="0" applyNumberFormat="1" applyFont="1" applyFill="1" applyBorder="1" applyAlignment="1">
      <alignment horizontal="center" vertical="center" wrapText="1"/>
    </xf>
    <xf numFmtId="4" fontId="8" fillId="20" borderId="45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vertical="center"/>
    </xf>
    <xf numFmtId="4" fontId="4" fillId="0" borderId="46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3" fontId="4" fillId="20" borderId="66" xfId="0" applyNumberFormat="1" applyFont="1" applyFill="1" applyBorder="1" applyAlignment="1">
      <alignment vertical="center"/>
    </xf>
    <xf numFmtId="3" fontId="4" fillId="25" borderId="69" xfId="0" applyNumberFormat="1" applyFont="1" applyFill="1" applyBorder="1" applyAlignment="1">
      <alignment/>
    </xf>
    <xf numFmtId="3" fontId="4" fillId="25" borderId="70" xfId="0" applyNumberFormat="1" applyFont="1" applyFill="1" applyBorder="1" applyAlignment="1">
      <alignment/>
    </xf>
    <xf numFmtId="0" fontId="1" fillId="0" borderId="5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5" borderId="44" xfId="0" applyFont="1" applyFill="1" applyBorder="1" applyAlignment="1">
      <alignment vertical="center" wrapText="1"/>
    </xf>
    <xf numFmtId="0" fontId="1" fillId="5" borderId="38" xfId="0" applyFont="1" applyFill="1" applyBorder="1" applyAlignment="1">
      <alignment vertical="center" wrapText="1"/>
    </xf>
    <xf numFmtId="0" fontId="1" fillId="20" borderId="34" xfId="0" applyFont="1" applyFill="1" applyBorder="1" applyAlignment="1">
      <alignment vertical="center" wrapText="1"/>
    </xf>
    <xf numFmtId="0" fontId="32" fillId="0" borderId="38" xfId="0" applyFont="1" applyFill="1" applyBorder="1" applyAlignment="1">
      <alignment vertical="center" wrapText="1"/>
    </xf>
    <xf numFmtId="0" fontId="32" fillId="0" borderId="44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right" wrapText="1"/>
    </xf>
    <xf numFmtId="0" fontId="9" fillId="0" borderId="81" xfId="0" applyFont="1" applyFill="1" applyBorder="1" applyAlignment="1">
      <alignment horizontal="right" wrapText="1"/>
    </xf>
    <xf numFmtId="3" fontId="9" fillId="5" borderId="70" xfId="0" applyNumberFormat="1" applyFont="1" applyFill="1" applyBorder="1" applyAlignment="1">
      <alignment wrapText="1"/>
    </xf>
    <xf numFmtId="4" fontId="9" fillId="10" borderId="16" xfId="0" applyNumberFormat="1" applyFont="1" applyFill="1" applyBorder="1" applyAlignment="1">
      <alignment vertical="center"/>
    </xf>
    <xf numFmtId="4" fontId="9" fillId="20" borderId="66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distributed"/>
    </xf>
    <xf numFmtId="3" fontId="5" fillId="26" borderId="16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vertical="center"/>
    </xf>
    <xf numFmtId="3" fontId="5" fillId="0" borderId="6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/>
    </xf>
    <xf numFmtId="3" fontId="4" fillId="20" borderId="48" xfId="0" applyNumberFormat="1" applyFont="1" applyFill="1" applyBorder="1" applyAlignment="1">
      <alignment vertical="center"/>
    </xf>
    <xf numFmtId="4" fontId="9" fillId="3" borderId="17" xfId="0" applyNumberFormat="1" applyFont="1" applyFill="1" applyBorder="1" applyAlignment="1">
      <alignment vertical="distributed"/>
    </xf>
    <xf numFmtId="4" fontId="9" fillId="3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 horizontal="center" vertical="center"/>
    </xf>
    <xf numFmtId="4" fontId="9" fillId="8" borderId="66" xfId="0" applyNumberFormat="1" applyFont="1" applyFill="1" applyBorder="1" applyAlignment="1">
      <alignment vertical="center"/>
    </xf>
    <xf numFmtId="4" fontId="9" fillId="20" borderId="66" xfId="0" applyNumberFormat="1" applyFont="1" applyFill="1" applyBorder="1" applyAlignment="1">
      <alignment vertical="center"/>
    </xf>
    <xf numFmtId="4" fontId="9" fillId="3" borderId="66" xfId="0" applyNumberFormat="1" applyFont="1" applyFill="1" applyBorder="1" applyAlignment="1">
      <alignment vertical="distributed"/>
    </xf>
    <xf numFmtId="4" fontId="9" fillId="3" borderId="16" xfId="0" applyNumberFormat="1" applyFont="1" applyFill="1" applyBorder="1" applyAlignment="1">
      <alignment vertical="distributed"/>
    </xf>
    <xf numFmtId="4" fontId="9" fillId="3" borderId="68" xfId="0" applyNumberFormat="1" applyFont="1" applyFill="1" applyBorder="1" applyAlignment="1">
      <alignment horizontal="right"/>
    </xf>
    <xf numFmtId="4" fontId="9" fillId="3" borderId="20" xfId="0" applyNumberFormat="1" applyFont="1" applyFill="1" applyBorder="1" applyAlignment="1">
      <alignment horizontal="right"/>
    </xf>
    <xf numFmtId="4" fontId="10" fillId="26" borderId="50" xfId="0" applyNumberFormat="1" applyFont="1" applyFill="1" applyBorder="1" applyAlignment="1">
      <alignment wrapText="1"/>
    </xf>
    <xf numFmtId="4" fontId="10" fillId="26" borderId="28" xfId="0" applyNumberFormat="1" applyFont="1" applyFill="1" applyBorder="1" applyAlignment="1">
      <alignment wrapText="1"/>
    </xf>
    <xf numFmtId="4" fontId="10" fillId="26" borderId="28" xfId="0" applyNumberFormat="1" applyFont="1" applyFill="1" applyBorder="1" applyAlignment="1">
      <alignment/>
    </xf>
    <xf numFmtId="4" fontId="10" fillId="0" borderId="52" xfId="0" applyNumberFormat="1" applyFont="1" applyBorder="1" applyAlignment="1">
      <alignment horizontal="center" vertical="center" wrapText="1"/>
    </xf>
    <xf numFmtId="4" fontId="10" fillId="0" borderId="39" xfId="0" applyNumberFormat="1" applyFont="1" applyBorder="1" applyAlignment="1">
      <alignment horizontal="center" vertical="center" wrapText="1"/>
    </xf>
    <xf numFmtId="4" fontId="10" fillId="0" borderId="44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4" fontId="10" fillId="0" borderId="54" xfId="0" applyNumberFormat="1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vertical="center"/>
    </xf>
    <xf numFmtId="4" fontId="10" fillId="0" borderId="26" xfId="0" applyNumberFormat="1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vertical="center"/>
    </xf>
    <xf numFmtId="4" fontId="10" fillId="0" borderId="50" xfId="0" applyNumberFormat="1" applyFont="1" applyFill="1" applyBorder="1" applyAlignment="1">
      <alignment vertical="center"/>
    </xf>
    <xf numFmtId="4" fontId="10" fillId="0" borderId="28" xfId="0" applyNumberFormat="1" applyFont="1" applyFill="1" applyBorder="1" applyAlignment="1">
      <alignment vertical="center"/>
    </xf>
    <xf numFmtId="4" fontId="10" fillId="0" borderId="21" xfId="0" applyNumberFormat="1" applyFont="1" applyFill="1" applyBorder="1" applyAlignment="1">
      <alignment vertical="center"/>
    </xf>
    <xf numFmtId="4" fontId="10" fillId="0" borderId="27" xfId="0" applyNumberFormat="1" applyFont="1" applyFill="1" applyBorder="1" applyAlignment="1">
      <alignment vertical="center"/>
    </xf>
    <xf numFmtId="4" fontId="9" fillId="25" borderId="66" xfId="0" applyNumberFormat="1" applyFont="1" applyFill="1" applyBorder="1" applyAlignment="1">
      <alignment vertical="center"/>
    </xf>
    <xf numFmtId="4" fontId="9" fillId="25" borderId="16" xfId="0" applyNumberFormat="1" applyFont="1" applyFill="1" applyBorder="1" applyAlignment="1">
      <alignment vertical="center"/>
    </xf>
    <xf numFmtId="4" fontId="9" fillId="8" borderId="66" xfId="0" applyNumberFormat="1" applyFont="1" applyFill="1" applyBorder="1" applyAlignment="1">
      <alignment vertical="center"/>
    </xf>
    <xf numFmtId="4" fontId="9" fillId="8" borderId="16" xfId="0" applyNumberFormat="1" applyFont="1" applyFill="1" applyBorder="1" applyAlignment="1">
      <alignment vertical="center"/>
    </xf>
    <xf numFmtId="4" fontId="10" fillId="0" borderId="55" xfId="0" applyNumberFormat="1" applyFont="1" applyFill="1" applyBorder="1" applyAlignment="1">
      <alignment vertical="center"/>
    </xf>
    <xf numFmtId="4" fontId="10" fillId="0" borderId="35" xfId="0" applyNumberFormat="1" applyFont="1" applyFill="1" applyBorder="1" applyAlignment="1">
      <alignment vertical="center"/>
    </xf>
    <xf numFmtId="4" fontId="10" fillId="0" borderId="34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56" xfId="0" applyNumberFormat="1" applyFont="1" applyFill="1" applyBorder="1" applyAlignment="1">
      <alignment vertical="center"/>
    </xf>
    <xf numFmtId="4" fontId="10" fillId="0" borderId="30" xfId="0" applyNumberFormat="1" applyFont="1" applyFill="1" applyBorder="1" applyAlignment="1">
      <alignment vertical="center"/>
    </xf>
    <xf numFmtId="4" fontId="10" fillId="0" borderId="33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0" fillId="5" borderId="74" xfId="0" applyNumberFormat="1" applyFont="1" applyFill="1" applyBorder="1" applyAlignment="1">
      <alignment vertical="center"/>
    </xf>
    <xf numFmtId="4" fontId="10" fillId="5" borderId="71" xfId="0" applyNumberFormat="1" applyFont="1" applyFill="1" applyBorder="1" applyAlignment="1">
      <alignment vertical="center"/>
    </xf>
    <xf numFmtId="4" fontId="10" fillId="5" borderId="72" xfId="0" applyNumberFormat="1" applyFont="1" applyFill="1" applyBorder="1" applyAlignment="1">
      <alignment vertical="center"/>
    </xf>
    <xf numFmtId="4" fontId="10" fillId="0" borderId="63" xfId="0" applyNumberFormat="1" applyFont="1" applyFill="1" applyBorder="1" applyAlignment="1">
      <alignment vertical="center"/>
    </xf>
    <xf numFmtId="4" fontId="10" fillId="0" borderId="71" xfId="0" applyNumberFormat="1" applyFont="1" applyFill="1" applyBorder="1" applyAlignment="1">
      <alignment vertical="center"/>
    </xf>
    <xf numFmtId="4" fontId="10" fillId="0" borderId="72" xfId="0" applyNumberFormat="1" applyFont="1" applyFill="1" applyBorder="1" applyAlignment="1">
      <alignment vertical="center"/>
    </xf>
    <xf numFmtId="4" fontId="10" fillId="20" borderId="55" xfId="0" applyNumberFormat="1" applyFont="1" applyFill="1" applyBorder="1" applyAlignment="1">
      <alignment vertical="center"/>
    </xf>
    <xf numFmtId="4" fontId="10" fillId="20" borderId="35" xfId="0" applyNumberFormat="1" applyFont="1" applyFill="1" applyBorder="1" applyAlignment="1">
      <alignment vertical="center"/>
    </xf>
    <xf numFmtId="4" fontId="10" fillId="20" borderId="34" xfId="0" applyNumberFormat="1" applyFont="1" applyFill="1" applyBorder="1" applyAlignment="1">
      <alignment vertical="center"/>
    </xf>
    <xf numFmtId="4" fontId="10" fillId="20" borderId="11" xfId="0" applyNumberFormat="1" applyFont="1" applyFill="1" applyBorder="1" applyAlignment="1">
      <alignment vertical="center"/>
    </xf>
    <xf numFmtId="4" fontId="10" fillId="5" borderId="77" xfId="0" applyNumberFormat="1" applyFont="1" applyFill="1" applyBorder="1" applyAlignment="1">
      <alignment vertical="center"/>
    </xf>
    <xf numFmtId="4" fontId="10" fillId="5" borderId="75" xfId="0" applyNumberFormat="1" applyFont="1" applyFill="1" applyBorder="1" applyAlignment="1">
      <alignment vertical="center"/>
    </xf>
    <xf numFmtId="4" fontId="10" fillId="5" borderId="76" xfId="0" applyNumberFormat="1" applyFont="1" applyFill="1" applyBorder="1" applyAlignment="1">
      <alignment vertical="center"/>
    </xf>
    <xf numFmtId="4" fontId="10" fillId="0" borderId="43" xfId="0" applyNumberFormat="1" applyFont="1" applyFill="1" applyBorder="1" applyAlignment="1">
      <alignment vertical="center"/>
    </xf>
    <xf numFmtId="4" fontId="10" fillId="0" borderId="75" xfId="0" applyNumberFormat="1" applyFont="1" applyFill="1" applyBorder="1" applyAlignment="1">
      <alignment vertical="center"/>
    </xf>
    <xf numFmtId="4" fontId="10" fillId="0" borderId="76" xfId="0" applyNumberFormat="1" applyFont="1" applyFill="1" applyBorder="1" applyAlignment="1">
      <alignment vertical="center"/>
    </xf>
    <xf numFmtId="4" fontId="9" fillId="20" borderId="16" xfId="0" applyNumberFormat="1" applyFont="1" applyFill="1" applyBorder="1" applyAlignment="1">
      <alignment vertical="center"/>
    </xf>
    <xf numFmtId="4" fontId="9" fillId="25" borderId="69" xfId="0" applyNumberFormat="1" applyFont="1" applyFill="1" applyBorder="1" applyAlignment="1">
      <alignment/>
    </xf>
    <xf numFmtId="4" fontId="9" fillId="25" borderId="13" xfId="0" applyNumberFormat="1" applyFont="1" applyFill="1" applyBorder="1" applyAlignment="1">
      <alignment/>
    </xf>
    <xf numFmtId="4" fontId="9" fillId="25" borderId="70" xfId="0" applyNumberFormat="1" applyFont="1" applyFill="1" applyBorder="1" applyAlignment="1">
      <alignment/>
    </xf>
    <xf numFmtId="4" fontId="9" fillId="25" borderId="58" xfId="0" applyNumberFormat="1" applyFont="1" applyFill="1" applyBorder="1" applyAlignment="1">
      <alignment/>
    </xf>
    <xf numFmtId="4" fontId="9" fillId="0" borderId="68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4" fontId="9" fillId="4" borderId="69" xfId="0" applyNumberFormat="1" applyFont="1" applyFill="1" applyBorder="1" applyAlignment="1">
      <alignment wrapText="1"/>
    </xf>
    <xf numFmtId="4" fontId="9" fillId="4" borderId="13" xfId="0" applyNumberFormat="1" applyFont="1" applyFill="1" applyBorder="1" applyAlignment="1">
      <alignment wrapText="1"/>
    </xf>
    <xf numFmtId="4" fontId="9" fillId="24" borderId="48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/>
    </xf>
    <xf numFmtId="4" fontId="0" fillId="26" borderId="37" xfId="0" applyNumberFormat="1" applyFont="1" applyFill="1" applyBorder="1" applyAlignment="1">
      <alignment/>
    </xf>
    <xf numFmtId="4" fontId="0" fillId="26" borderId="37" xfId="0" applyNumberFormat="1" applyFont="1" applyFill="1" applyBorder="1" applyAlignment="1">
      <alignment horizontal="center"/>
    </xf>
    <xf numFmtId="4" fontId="9" fillId="0" borderId="33" xfId="0" applyNumberFormat="1" applyFont="1" applyFill="1" applyBorder="1" applyAlignment="1">
      <alignment vertical="center"/>
    </xf>
    <xf numFmtId="4" fontId="4" fillId="20" borderId="35" xfId="0" applyNumberFormat="1" applyFont="1" applyFill="1" applyBorder="1" applyAlignment="1">
      <alignment horizontal="center" vertical="center" wrapText="1"/>
    </xf>
    <xf numFmtId="4" fontId="9" fillId="20" borderId="34" xfId="0" applyNumberFormat="1" applyFont="1" applyFill="1" applyBorder="1" applyAlignment="1">
      <alignment horizontal="center" vertical="center" wrapText="1"/>
    </xf>
    <xf numFmtId="4" fontId="4" fillId="5" borderId="16" xfId="0" applyNumberFormat="1" applyFont="1" applyFill="1" applyBorder="1" applyAlignment="1">
      <alignment horizontal="center" vertical="center" wrapText="1"/>
    </xf>
    <xf numFmtId="3" fontId="4" fillId="3" borderId="40" xfId="0" applyNumberFormat="1" applyFont="1" applyFill="1" applyBorder="1" applyAlignment="1">
      <alignment vertical="distributed"/>
    </xf>
    <xf numFmtId="3" fontId="4" fillId="0" borderId="65" xfId="0" applyNumberFormat="1" applyFont="1" applyFill="1" applyBorder="1" applyAlignment="1">
      <alignment vertical="center"/>
    </xf>
    <xf numFmtId="3" fontId="4" fillId="22" borderId="20" xfId="0" applyNumberFormat="1" applyFont="1" applyFill="1" applyBorder="1" applyAlignment="1">
      <alignment vertical="center"/>
    </xf>
    <xf numFmtId="3" fontId="4" fillId="5" borderId="16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/>
    </xf>
    <xf numFmtId="3" fontId="9" fillId="0" borderId="58" xfId="0" applyNumberFormat="1" applyFont="1" applyFill="1" applyBorder="1" applyAlignment="1">
      <alignment/>
    </xf>
    <xf numFmtId="3" fontId="9" fillId="24" borderId="20" xfId="0" applyNumberFormat="1" applyFont="1" applyFill="1" applyBorder="1" applyAlignment="1">
      <alignment/>
    </xf>
    <xf numFmtId="3" fontId="9" fillId="4" borderId="16" xfId="0" applyNumberFormat="1" applyFont="1" applyFill="1" applyBorder="1" applyAlignment="1">
      <alignment wrapText="1"/>
    </xf>
    <xf numFmtId="3" fontId="9" fillId="24" borderId="53" xfId="0" applyNumberFormat="1" applyFont="1" applyFill="1" applyBorder="1" applyAlignment="1">
      <alignment wrapText="1"/>
    </xf>
    <xf numFmtId="0" fontId="9" fillId="0" borderId="48" xfId="0" applyFont="1" applyFill="1" applyBorder="1" applyAlignment="1">
      <alignment/>
    </xf>
    <xf numFmtId="4" fontId="4" fillId="20" borderId="16" xfId="0" applyNumberFormat="1" applyFont="1" applyFill="1" applyBorder="1" applyAlignment="1">
      <alignment vertical="center"/>
    </xf>
    <xf numFmtId="3" fontId="5" fillId="5" borderId="16" xfId="0" applyNumberFormat="1" applyFont="1" applyFill="1" applyBorder="1" applyAlignment="1">
      <alignment vertical="center"/>
    </xf>
    <xf numFmtId="3" fontId="33" fillId="0" borderId="32" xfId="0" applyNumberFormat="1" applyFont="1" applyFill="1" applyBorder="1" applyAlignment="1">
      <alignment/>
    </xf>
    <xf numFmtId="3" fontId="4" fillId="0" borderId="66" xfId="0" applyNumberFormat="1" applyFont="1" applyFill="1" applyBorder="1" applyAlignment="1">
      <alignment/>
    </xf>
    <xf numFmtId="4" fontId="8" fillId="25" borderId="16" xfId="0" applyNumberFormat="1" applyFont="1" applyFill="1" applyBorder="1" applyAlignment="1">
      <alignment vertical="distributed"/>
    </xf>
    <xf numFmtId="4" fontId="9" fillId="0" borderId="0" xfId="0" applyNumberFormat="1" applyFont="1" applyFill="1" applyAlignment="1" quotePrefix="1">
      <alignment vertical="center"/>
    </xf>
    <xf numFmtId="4" fontId="10" fillId="4" borderId="43" xfId="0" applyNumberFormat="1" applyFont="1" applyFill="1" applyBorder="1" applyAlignment="1">
      <alignment vertical="center"/>
    </xf>
    <xf numFmtId="4" fontId="33" fillId="20" borderId="11" xfId="0" applyNumberFormat="1" applyFont="1" applyFill="1" applyBorder="1" applyAlignment="1">
      <alignment horizontal="center" vertical="center" wrapText="1"/>
    </xf>
    <xf numFmtId="4" fontId="33" fillId="4" borderId="60" xfId="0" applyNumberFormat="1" applyFont="1" applyFill="1" applyBorder="1" applyAlignment="1">
      <alignment horizontal="center" vertical="center" wrapText="1"/>
    </xf>
    <xf numFmtId="4" fontId="10" fillId="26" borderId="36" xfId="0" applyNumberFormat="1" applyFont="1" applyFill="1" applyBorder="1" applyAlignment="1">
      <alignment/>
    </xf>
    <xf numFmtId="0" fontId="10" fillId="4" borderId="25" xfId="0" applyFont="1" applyFill="1" applyBorder="1" applyAlignment="1">
      <alignment vertical="center"/>
    </xf>
    <xf numFmtId="4" fontId="10" fillId="4" borderId="29" xfId="0" applyNumberFormat="1" applyFont="1" applyFill="1" applyBorder="1" applyAlignment="1">
      <alignment vertical="center"/>
    </xf>
    <xf numFmtId="4" fontId="10" fillId="4" borderId="25" xfId="0" applyNumberFormat="1" applyFont="1" applyFill="1" applyBorder="1" applyAlignment="1">
      <alignment vertical="center"/>
    </xf>
    <xf numFmtId="4" fontId="10" fillId="4" borderId="31" xfId="0" applyNumberFormat="1" applyFont="1" applyFill="1" applyBorder="1" applyAlignment="1">
      <alignment vertical="center"/>
    </xf>
    <xf numFmtId="0" fontId="10" fillId="4" borderId="29" xfId="0" applyFont="1" applyFill="1" applyBorder="1" applyAlignment="1">
      <alignment vertical="center"/>
    </xf>
    <xf numFmtId="0" fontId="10" fillId="4" borderId="45" xfId="0" applyFont="1" applyFill="1" applyBorder="1" applyAlignment="1">
      <alignment vertical="center"/>
    </xf>
    <xf numFmtId="4" fontId="10" fillId="4" borderId="40" xfId="0" applyNumberFormat="1" applyFont="1" applyFill="1" applyBorder="1" applyAlignment="1">
      <alignment vertical="center"/>
    </xf>
    <xf numFmtId="4" fontId="10" fillId="4" borderId="32" xfId="0" applyNumberFormat="1" applyFont="1" applyFill="1" applyBorder="1" applyAlignment="1">
      <alignment vertical="center"/>
    </xf>
    <xf numFmtId="4" fontId="9" fillId="4" borderId="47" xfId="0" applyNumberFormat="1" applyFont="1" applyFill="1" applyBorder="1" applyAlignment="1">
      <alignment vertical="center"/>
    </xf>
    <xf numFmtId="0" fontId="10" fillId="4" borderId="82" xfId="0" applyFont="1" applyFill="1" applyBorder="1" applyAlignment="1">
      <alignment vertical="center"/>
    </xf>
    <xf numFmtId="4" fontId="9" fillId="4" borderId="36" xfId="0" applyNumberFormat="1" applyFont="1" applyFill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0" fontId="9" fillId="4" borderId="73" xfId="0" applyFont="1" applyFill="1" applyBorder="1" applyAlignment="1">
      <alignment vertical="center"/>
    </xf>
    <xf numFmtId="0" fontId="10" fillId="20" borderId="36" xfId="0" applyFont="1" applyFill="1" applyBorder="1" applyAlignment="1">
      <alignment vertical="center"/>
    </xf>
    <xf numFmtId="4" fontId="10" fillId="0" borderId="16" xfId="0" applyNumberFormat="1" applyFont="1" applyFill="1" applyBorder="1" applyAlignment="1">
      <alignment vertical="center"/>
    </xf>
    <xf numFmtId="4" fontId="10" fillId="26" borderId="13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 horizontal="center" vertical="center" wrapText="1"/>
    </xf>
    <xf numFmtId="3" fontId="5" fillId="0" borderId="40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3" fontId="5" fillId="25" borderId="32" xfId="0" applyNumberFormat="1" applyFont="1" applyFill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3" fontId="5" fillId="25" borderId="60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67" xfId="0" applyNumberFormat="1" applyFont="1" applyFill="1" applyBorder="1" applyAlignment="1">
      <alignment vertical="center"/>
    </xf>
    <xf numFmtId="4" fontId="9" fillId="26" borderId="18" xfId="0" applyNumberFormat="1" applyFont="1" applyFill="1" applyBorder="1" applyAlignment="1">
      <alignment/>
    </xf>
    <xf numFmtId="4" fontId="9" fillId="5" borderId="66" xfId="0" applyNumberFormat="1" applyFont="1" applyFill="1" applyBorder="1" applyAlignment="1">
      <alignment horizontal="center" vertical="center" wrapText="1"/>
    </xf>
    <xf numFmtId="4" fontId="9" fillId="0" borderId="69" xfId="0" applyNumberFormat="1" applyFont="1" applyFill="1" applyBorder="1" applyAlignment="1">
      <alignment vertical="center"/>
    </xf>
    <xf numFmtId="4" fontId="9" fillId="0" borderId="78" xfId="0" applyNumberFormat="1" applyFont="1" applyFill="1" applyBorder="1" applyAlignment="1">
      <alignment vertical="center"/>
    </xf>
    <xf numFmtId="4" fontId="9" fillId="0" borderId="66" xfId="0" applyNumberFormat="1" applyFont="1" applyFill="1" applyBorder="1" applyAlignment="1">
      <alignment vertical="center"/>
    </xf>
    <xf numFmtId="4" fontId="9" fillId="0" borderId="83" xfId="0" applyNumberFormat="1" applyFont="1" applyFill="1" applyBorder="1" applyAlignment="1">
      <alignment vertical="center"/>
    </xf>
    <xf numFmtId="4" fontId="9" fillId="0" borderId="68" xfId="0" applyNumberFormat="1" applyFont="1" applyFill="1" applyBorder="1" applyAlignment="1">
      <alignment vertical="center"/>
    </xf>
    <xf numFmtId="4" fontId="9" fillId="25" borderId="18" xfId="0" applyNumberFormat="1" applyFont="1" applyFill="1" applyBorder="1" applyAlignment="1">
      <alignment vertical="center"/>
    </xf>
    <xf numFmtId="4" fontId="9" fillId="0" borderId="79" xfId="0" applyNumberFormat="1" applyFont="1" applyFill="1" applyBorder="1" applyAlignment="1">
      <alignment vertical="center"/>
    </xf>
    <xf numFmtId="4" fontId="9" fillId="0" borderId="69" xfId="0" applyNumberFormat="1" applyFont="1" applyFill="1" applyBorder="1" applyAlignment="1">
      <alignment/>
    </xf>
    <xf numFmtId="4" fontId="9" fillId="0" borderId="70" xfId="0" applyNumberFormat="1" applyFont="1" applyFill="1" applyBorder="1" applyAlignment="1">
      <alignment/>
    </xf>
    <xf numFmtId="4" fontId="9" fillId="24" borderId="68" xfId="0" applyNumberFormat="1" applyFont="1" applyFill="1" applyBorder="1" applyAlignment="1">
      <alignment/>
    </xf>
    <xf numFmtId="4" fontId="9" fillId="4" borderId="18" xfId="0" applyNumberFormat="1" applyFont="1" applyFill="1" applyBorder="1" applyAlignment="1">
      <alignment wrapText="1"/>
    </xf>
    <xf numFmtId="4" fontId="9" fillId="24" borderId="79" xfId="0" applyNumberFormat="1" applyFont="1" applyFill="1" applyBorder="1" applyAlignment="1">
      <alignment wrapText="1"/>
    </xf>
    <xf numFmtId="3" fontId="5" fillId="0" borderId="69" xfId="0" applyNumberFormat="1" applyFont="1" applyFill="1" applyBorder="1" applyAlignment="1">
      <alignment vertical="center"/>
    </xf>
    <xf numFmtId="3" fontId="5" fillId="0" borderId="78" xfId="0" applyNumberFormat="1" applyFont="1" applyFill="1" applyBorder="1" applyAlignment="1">
      <alignment vertical="center"/>
    </xf>
    <xf numFmtId="3" fontId="5" fillId="25" borderId="66" xfId="0" applyNumberFormat="1" applyFont="1" applyFill="1" applyBorder="1" applyAlignment="1">
      <alignment vertical="center"/>
    </xf>
    <xf numFmtId="3" fontId="5" fillId="0" borderId="68" xfId="0" applyNumberFormat="1" applyFont="1" applyFill="1" applyBorder="1" applyAlignment="1">
      <alignment vertical="center"/>
    </xf>
    <xf numFmtId="3" fontId="5" fillId="0" borderId="83" xfId="0" applyNumberFormat="1" applyFont="1" applyFill="1" applyBorder="1" applyAlignment="1">
      <alignment vertical="center"/>
    </xf>
    <xf numFmtId="3" fontId="5" fillId="25" borderId="18" xfId="0" applyNumberFormat="1" applyFont="1" applyFill="1" applyBorder="1" applyAlignment="1">
      <alignment vertical="center"/>
    </xf>
    <xf numFmtId="3" fontId="5" fillId="0" borderId="66" xfId="0" applyNumberFormat="1" applyFont="1" applyFill="1" applyBorder="1" applyAlignment="1">
      <alignment vertical="center"/>
    </xf>
    <xf numFmtId="3" fontId="4" fillId="3" borderId="28" xfId="0" applyNumberFormat="1" applyFont="1" applyFill="1" applyBorder="1" applyAlignment="1">
      <alignment vertical="distributed"/>
    </xf>
    <xf numFmtId="3" fontId="4" fillId="3" borderId="37" xfId="0" applyNumberFormat="1" applyFont="1" applyFill="1" applyBorder="1" applyAlignment="1">
      <alignment/>
    </xf>
    <xf numFmtId="3" fontId="5" fillId="26" borderId="66" xfId="0" applyNumberFormat="1" applyFont="1" applyFill="1" applyBorder="1" applyAlignment="1">
      <alignment/>
    </xf>
    <xf numFmtId="0" fontId="1" fillId="20" borderId="32" xfId="0" applyFont="1" applyFill="1" applyBorder="1" applyAlignment="1">
      <alignment horizontal="center" vertical="center" wrapText="1"/>
    </xf>
    <xf numFmtId="0" fontId="1" fillId="20" borderId="66" xfId="0" applyFont="1" applyFill="1" applyBorder="1" applyAlignment="1">
      <alignment horizontal="center" vertical="center" wrapText="1"/>
    </xf>
    <xf numFmtId="4" fontId="4" fillId="20" borderId="32" xfId="0" applyNumberFormat="1" applyFont="1" applyFill="1" applyBorder="1" applyAlignment="1">
      <alignment horizontal="center" vertical="center" wrapText="1"/>
    </xf>
    <xf numFmtId="4" fontId="4" fillId="20" borderId="46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1" fillId="20" borderId="63" xfId="0" applyFont="1" applyFill="1" applyBorder="1" applyAlignment="1">
      <alignment horizontal="center" vertical="center" wrapText="1"/>
    </xf>
    <xf numFmtId="0" fontId="1" fillId="20" borderId="72" xfId="0" applyFont="1" applyFill="1" applyBorder="1" applyAlignment="1">
      <alignment horizontal="center" vertical="center" wrapText="1"/>
    </xf>
    <xf numFmtId="0" fontId="1" fillId="5" borderId="67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9" fillId="24" borderId="32" xfId="0" applyFont="1" applyFill="1" applyBorder="1" applyAlignment="1">
      <alignment horizontal="center" vertical="center" wrapText="1"/>
    </xf>
    <xf numFmtId="0" fontId="9" fillId="24" borderId="55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34" xfId="0" applyFont="1" applyFill="1" applyBorder="1" applyAlignment="1">
      <alignment horizontal="center" vertical="center" wrapText="1"/>
    </xf>
    <xf numFmtId="0" fontId="31" fillId="5" borderId="49" xfId="0" applyFont="1" applyFill="1" applyBorder="1" applyAlignment="1">
      <alignment horizontal="left" vertical="center" wrapText="1"/>
    </xf>
    <xf numFmtId="0" fontId="31" fillId="5" borderId="68" xfId="0" applyFont="1" applyFill="1" applyBorder="1" applyAlignment="1">
      <alignment horizontal="left" vertical="center" wrapText="1"/>
    </xf>
    <xf numFmtId="0" fontId="8" fillId="26" borderId="32" xfId="0" applyFont="1" applyFill="1" applyBorder="1" applyAlignment="1">
      <alignment horizontal="center" vertical="center" wrapText="1"/>
    </xf>
    <xf numFmtId="0" fontId="8" fillId="26" borderId="66" xfId="0" applyFont="1" applyFill="1" applyBorder="1" applyAlignment="1">
      <alignment horizontal="center" vertical="center" wrapText="1"/>
    </xf>
    <xf numFmtId="4" fontId="4" fillId="4" borderId="32" xfId="0" applyNumberFormat="1" applyFont="1" applyFill="1" applyBorder="1" applyAlignment="1">
      <alignment horizontal="center" wrapText="1"/>
    </xf>
    <xf numFmtId="4" fontId="4" fillId="4" borderId="66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11" fillId="26" borderId="32" xfId="0" applyNumberFormat="1" applyFont="1" applyFill="1" applyBorder="1" applyAlignment="1">
      <alignment horizontal="center" wrapText="1"/>
    </xf>
    <xf numFmtId="4" fontId="11" fillId="26" borderId="66" xfId="0" applyNumberFormat="1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distributed"/>
    </xf>
    <xf numFmtId="4" fontId="9" fillId="4" borderId="64" xfId="0" applyNumberFormat="1" applyFont="1" applyFill="1" applyBorder="1" applyAlignment="1">
      <alignment horizontal="center" vertical="center"/>
    </xf>
    <xf numFmtId="0" fontId="9" fillId="4" borderId="82" xfId="0" applyFont="1" applyFill="1" applyBorder="1" applyAlignment="1">
      <alignment horizontal="center" vertical="center"/>
    </xf>
    <xf numFmtId="4" fontId="9" fillId="8" borderId="64" xfId="0" applyNumberFormat="1" applyFont="1" applyFill="1" applyBorder="1" applyAlignment="1">
      <alignment horizontal="center" vertical="center"/>
    </xf>
    <xf numFmtId="0" fontId="9" fillId="8" borderId="82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3" fontId="4" fillId="3" borderId="22" xfId="0" applyNumberFormat="1" applyFont="1" applyFill="1" applyBorder="1" applyAlignment="1">
      <alignment/>
    </xf>
    <xf numFmtId="3" fontId="4" fillId="3" borderId="84" xfId="0" applyNumberFormat="1" applyFont="1" applyFill="1" applyBorder="1" applyAlignment="1">
      <alignment/>
    </xf>
    <xf numFmtId="3" fontId="3" fillId="0" borderId="53" xfId="0" applyNumberFormat="1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3" fontId="4" fillId="0" borderId="43" xfId="0" applyNumberFormat="1" applyFont="1" applyFill="1" applyBorder="1" applyAlignment="1">
      <alignment horizontal="center" vertical="center" wrapText="1"/>
    </xf>
    <xf numFmtId="3" fontId="4" fillId="0" borderId="47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21" borderId="53" xfId="0" applyNumberFormat="1" applyFont="1" applyFill="1" applyBorder="1" applyAlignment="1">
      <alignment horizontal="center" vertical="center" wrapText="1"/>
    </xf>
    <xf numFmtId="3" fontId="4" fillId="21" borderId="79" xfId="0" applyNumberFormat="1" applyFont="1" applyFill="1" applyBorder="1" applyAlignment="1">
      <alignment horizontal="center" vertical="center" wrapText="1"/>
    </xf>
    <xf numFmtId="4" fontId="0" fillId="26" borderId="46" xfId="0" applyNumberFormat="1" applyFont="1" applyFill="1" applyBorder="1" applyAlignment="1">
      <alignment/>
    </xf>
    <xf numFmtId="4" fontId="0" fillId="26" borderId="35" xfId="0" applyNumberFormat="1" applyFont="1" applyFill="1" applyBorder="1" applyAlignment="1">
      <alignment horizontal="center"/>
    </xf>
    <xf numFmtId="4" fontId="4" fillId="10" borderId="16" xfId="0" applyNumberFormat="1" applyFont="1" applyFill="1" applyBorder="1" applyAlignment="1">
      <alignment horizontal="center"/>
    </xf>
    <xf numFmtId="3" fontId="4" fillId="26" borderId="11" xfId="0" applyNumberFormat="1" applyFont="1" applyFill="1" applyBorder="1" applyAlignment="1">
      <alignment/>
    </xf>
    <xf numFmtId="3" fontId="4" fillId="26" borderId="36" xfId="0" applyNumberFormat="1" applyFont="1" applyFill="1" applyBorder="1" applyAlignment="1">
      <alignment/>
    </xf>
    <xf numFmtId="3" fontId="5" fillId="26" borderId="32" xfId="0" applyNumberFormat="1" applyFont="1" applyFill="1" applyBorder="1" applyAlignment="1">
      <alignment/>
    </xf>
    <xf numFmtId="3" fontId="3" fillId="21" borderId="7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workbookViewId="0" topLeftCell="A1">
      <selection activeCell="CL7" sqref="CL7"/>
    </sheetView>
  </sheetViews>
  <sheetFormatPr defaultColWidth="9.140625" defaultRowHeight="12.75"/>
  <cols>
    <col min="1" max="1" width="13.140625" style="8" customWidth="1"/>
    <col min="2" max="2" width="22.00390625" style="9" customWidth="1"/>
    <col min="3" max="3" width="2.00390625" style="12" bestFit="1" customWidth="1"/>
    <col min="4" max="4" width="11.28125" style="44" hidden="1" customWidth="1"/>
    <col min="5" max="5" width="12.7109375" style="13" hidden="1" customWidth="1"/>
    <col min="6" max="6" width="12.421875" style="13" hidden="1" customWidth="1"/>
    <col min="7" max="7" width="12.57421875" style="212" hidden="1" customWidth="1"/>
    <col min="8" max="8" width="10.7109375" style="40" hidden="1" customWidth="1"/>
    <col min="9" max="9" width="10.28125" style="44" customWidth="1"/>
    <col min="10" max="11" width="10.7109375" style="44" customWidth="1"/>
    <col min="12" max="12" width="12.57421875" style="393" customWidth="1"/>
    <col min="13" max="13" width="13.140625" style="393" customWidth="1"/>
    <col min="14" max="14" width="13.7109375" style="393" customWidth="1"/>
    <col min="15" max="15" width="11.7109375" style="393" customWidth="1"/>
    <col min="16" max="16" width="17.00390625" style="393" customWidth="1"/>
    <col min="17" max="17" width="9.8515625" style="212" hidden="1" customWidth="1"/>
    <col min="18" max="18" width="10.00390625" style="132" hidden="1" customWidth="1"/>
    <col min="19" max="19" width="10.28125" style="132" hidden="1" customWidth="1"/>
    <col min="20" max="20" width="10.00390625" style="132" hidden="1" customWidth="1"/>
    <col min="21" max="21" width="10.421875" style="132" hidden="1" customWidth="1"/>
    <col min="22" max="23" width="10.00390625" style="132" hidden="1" customWidth="1"/>
    <col min="24" max="25" width="11.421875" style="12" hidden="1" customWidth="1"/>
    <col min="26" max="26" width="11.7109375" style="12" hidden="1" customWidth="1"/>
    <col min="27" max="28" width="12.7109375" style="13" hidden="1" customWidth="1"/>
    <col min="29" max="29" width="13.421875" style="13" hidden="1" customWidth="1"/>
    <col min="30" max="30" width="9.140625" style="12" hidden="1" customWidth="1"/>
    <col min="31" max="31" width="8.00390625" style="12" hidden="1" customWidth="1"/>
    <col min="32" max="32" width="14.140625" style="12" hidden="1" customWidth="1"/>
    <col min="33" max="33" width="9.140625" style="12" hidden="1" customWidth="1"/>
    <col min="34" max="34" width="8.00390625" style="12" hidden="1" customWidth="1"/>
    <col min="35" max="35" width="14.140625" style="12" hidden="1" customWidth="1"/>
    <col min="36" max="36" width="9.140625" style="12" hidden="1" customWidth="1"/>
    <col min="37" max="37" width="11.57421875" style="12" hidden="1" customWidth="1"/>
    <col min="38" max="38" width="14.140625" style="12" hidden="1" customWidth="1"/>
    <col min="39" max="39" width="9.140625" style="13" hidden="1" customWidth="1"/>
    <col min="40" max="40" width="8.421875" style="13" hidden="1" customWidth="1"/>
    <col min="41" max="41" width="15.421875" style="13" hidden="1" customWidth="1"/>
    <col min="42" max="42" width="9.140625" style="12" hidden="1" customWidth="1"/>
    <col min="43" max="43" width="11.28125" style="12" hidden="1" customWidth="1"/>
    <col min="44" max="44" width="9.7109375" style="12" hidden="1" customWidth="1"/>
    <col min="45" max="45" width="9.140625" style="12" hidden="1" customWidth="1"/>
    <col min="46" max="46" width="8.00390625" style="12" hidden="1" customWidth="1"/>
    <col min="47" max="47" width="11.00390625" style="12" hidden="1" customWidth="1"/>
    <col min="48" max="48" width="9.140625" style="12" hidden="1" customWidth="1"/>
    <col min="49" max="49" width="8.00390625" style="12" hidden="1" customWidth="1"/>
    <col min="50" max="50" width="10.8515625" style="12" hidden="1" customWidth="1"/>
    <col min="51" max="51" width="9.140625" style="12" hidden="1" customWidth="1"/>
    <col min="52" max="52" width="8.421875" style="12" hidden="1" customWidth="1"/>
    <col min="53" max="53" width="14.57421875" style="12" hidden="1" customWidth="1"/>
    <col min="54" max="54" width="9.140625" style="12" hidden="1" customWidth="1"/>
    <col min="55" max="55" width="8.00390625" style="12" hidden="1" customWidth="1"/>
    <col min="56" max="56" width="10.7109375" style="12" hidden="1" customWidth="1"/>
    <col min="57" max="57" width="9.140625" style="12" hidden="1" customWidth="1"/>
    <col min="58" max="58" width="8.00390625" style="12" hidden="1" customWidth="1"/>
    <col min="59" max="59" width="11.00390625" style="12" hidden="1" customWidth="1"/>
    <col min="60" max="60" width="9.140625" style="12" hidden="1" customWidth="1"/>
    <col min="61" max="61" width="8.00390625" style="12" hidden="1" customWidth="1"/>
    <col min="62" max="62" width="10.8515625" style="12" hidden="1" customWidth="1"/>
    <col min="63" max="63" width="9.140625" style="12" hidden="1" customWidth="1"/>
    <col min="64" max="64" width="8.421875" style="12" hidden="1" customWidth="1"/>
    <col min="65" max="65" width="14.7109375" style="12" hidden="1" customWidth="1"/>
    <col min="66" max="66" width="12.28125" style="13" hidden="1" customWidth="1"/>
    <col min="67" max="67" width="14.00390625" style="13" hidden="1" customWidth="1"/>
    <col min="68" max="68" width="13.140625" style="212" hidden="1" customWidth="1"/>
    <col min="69" max="69" width="10.140625" style="182" hidden="1" customWidth="1"/>
    <col min="70" max="70" width="10.8515625" style="40" hidden="1" customWidth="1"/>
    <col min="71" max="71" width="11.140625" style="40" hidden="1" customWidth="1"/>
    <col min="72" max="72" width="10.140625" style="132" hidden="1" customWidth="1"/>
    <col min="73" max="88" width="0" style="4" hidden="1" customWidth="1"/>
    <col min="89" max="16384" width="9.140625" style="4" customWidth="1"/>
  </cols>
  <sheetData>
    <row r="1" spans="1:72" s="52" customFormat="1" ht="12.75" customHeight="1">
      <c r="A1" s="559" t="s">
        <v>1</v>
      </c>
      <c r="B1" s="559"/>
      <c r="C1" s="559"/>
      <c r="D1" s="559"/>
      <c r="E1" s="559"/>
      <c r="F1" s="559"/>
      <c r="G1" s="559"/>
      <c r="H1" s="559"/>
      <c r="I1" s="559"/>
      <c r="J1" s="50"/>
      <c r="K1" s="50"/>
      <c r="L1" s="386"/>
      <c r="M1" s="386"/>
      <c r="N1" s="386"/>
      <c r="O1" s="386"/>
      <c r="P1" s="386"/>
      <c r="Q1" s="199"/>
      <c r="R1" s="131"/>
      <c r="S1" s="131"/>
      <c r="T1" s="131"/>
      <c r="U1" s="131"/>
      <c r="V1" s="131"/>
      <c r="W1" s="131"/>
      <c r="X1" s="51"/>
      <c r="Y1" s="51"/>
      <c r="Z1" s="51"/>
      <c r="AA1" s="61"/>
      <c r="AB1" s="61"/>
      <c r="AC1" s="61"/>
      <c r="AD1" s="51"/>
      <c r="AE1" s="51"/>
      <c r="AF1" s="51"/>
      <c r="AG1" s="51"/>
      <c r="AH1" s="51"/>
      <c r="AI1" s="51"/>
      <c r="AJ1" s="51"/>
      <c r="AK1" s="51"/>
      <c r="AL1" s="51"/>
      <c r="AM1" s="61"/>
      <c r="AN1" s="61"/>
      <c r="AO1" s="6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61"/>
      <c r="BO1" s="61"/>
      <c r="BP1" s="199"/>
      <c r="BQ1" s="213" t="s">
        <v>76</v>
      </c>
      <c r="BR1" s="54"/>
      <c r="BS1" s="54"/>
      <c r="BT1" s="131"/>
    </row>
    <row r="2" spans="1:72" s="52" customFormat="1" ht="19.5" customHeight="1" thickBot="1">
      <c r="A2" s="160"/>
      <c r="B2" s="160"/>
      <c r="C2" s="160"/>
      <c r="D2" s="160"/>
      <c r="E2" s="160"/>
      <c r="F2" s="160"/>
      <c r="G2" s="160"/>
      <c r="H2" s="160"/>
      <c r="I2" s="160"/>
      <c r="J2" s="50"/>
      <c r="K2" s="50"/>
      <c r="L2" s="386"/>
      <c r="M2" s="386"/>
      <c r="N2" s="386"/>
      <c r="O2" s="386"/>
      <c r="P2" s="386"/>
      <c r="Q2" s="199"/>
      <c r="R2" s="131"/>
      <c r="S2" s="131"/>
      <c r="T2" s="131"/>
      <c r="U2" s="131"/>
      <c r="V2" s="131"/>
      <c r="W2" s="131"/>
      <c r="X2" s="51"/>
      <c r="Y2" s="51"/>
      <c r="Z2" s="51"/>
      <c r="AA2" s="61"/>
      <c r="AB2" s="61"/>
      <c r="AC2" s="61"/>
      <c r="AD2" s="51"/>
      <c r="AE2" s="51"/>
      <c r="AF2" s="51"/>
      <c r="AG2" s="51"/>
      <c r="AH2" s="51"/>
      <c r="AI2" s="51"/>
      <c r="AJ2" s="51"/>
      <c r="AK2" s="51"/>
      <c r="AL2" s="51"/>
      <c r="AM2" s="61"/>
      <c r="AN2" s="61"/>
      <c r="AO2" s="6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61"/>
      <c r="BO2" s="61"/>
      <c r="BP2" s="199"/>
      <c r="BQ2" s="213"/>
      <c r="BR2" s="54"/>
      <c r="BS2" s="54"/>
      <c r="BT2" s="131"/>
    </row>
    <row r="3" spans="1:72" s="52" customFormat="1" ht="15" customHeight="1" hidden="1" thickBot="1">
      <c r="A3" s="160"/>
      <c r="B3" s="223" t="s">
        <v>93</v>
      </c>
      <c r="C3" s="161"/>
      <c r="D3" s="179">
        <v>18295890</v>
      </c>
      <c r="E3" s="189">
        <f>E5+E12</f>
        <v>16583494.68</v>
      </c>
      <c r="F3" s="189">
        <f>F5+F12</f>
        <v>18296381.07</v>
      </c>
      <c r="G3" s="200">
        <f>G5+G12</f>
        <v>15083434.45</v>
      </c>
      <c r="H3" s="480" t="s">
        <v>110</v>
      </c>
      <c r="I3" s="333">
        <f aca="true" t="shared" si="0" ref="I3:N3">I5+I12</f>
        <v>1600000</v>
      </c>
      <c r="J3" s="466">
        <f t="shared" si="0"/>
        <v>2280000</v>
      </c>
      <c r="K3" s="466">
        <f t="shared" si="0"/>
        <v>1648420</v>
      </c>
      <c r="L3" s="466">
        <f t="shared" si="0"/>
        <v>5528420</v>
      </c>
      <c r="M3" s="466">
        <f t="shared" si="0"/>
        <v>3036000</v>
      </c>
      <c r="N3" s="466">
        <f t="shared" si="0"/>
        <v>8564420</v>
      </c>
      <c r="O3" s="531"/>
      <c r="P3" s="531"/>
      <c r="Q3" s="395"/>
      <c r="R3" s="400">
        <f aca="true" t="shared" si="1" ref="R3:AW3">R5+R12</f>
        <v>1553048.23</v>
      </c>
      <c r="S3" s="401">
        <f t="shared" si="1"/>
        <v>1627486.09</v>
      </c>
      <c r="T3" s="401">
        <f t="shared" si="1"/>
        <v>1197690.86</v>
      </c>
      <c r="U3" s="401">
        <f t="shared" si="1"/>
        <v>1751415.9700000002</v>
      </c>
      <c r="V3" s="401">
        <f t="shared" si="1"/>
        <v>2277825.87</v>
      </c>
      <c r="W3" s="401">
        <f t="shared" si="1"/>
        <v>2319517.59</v>
      </c>
      <c r="X3" s="189">
        <f t="shared" si="1"/>
        <v>2170610.08</v>
      </c>
      <c r="Y3" s="189">
        <f t="shared" si="1"/>
        <v>1639220.46</v>
      </c>
      <c r="Z3" s="189">
        <f t="shared" si="1"/>
        <v>2014949.6800000002</v>
      </c>
      <c r="AA3" s="189">
        <f t="shared" si="1"/>
        <v>5475074.279999999</v>
      </c>
      <c r="AB3" s="189">
        <f t="shared" si="1"/>
        <v>5544532.42</v>
      </c>
      <c r="AC3" s="189">
        <f t="shared" si="1"/>
        <v>5532158.13</v>
      </c>
      <c r="AD3" s="189">
        <f t="shared" si="1"/>
        <v>0</v>
      </c>
      <c r="AE3" s="189">
        <f t="shared" si="1"/>
        <v>0</v>
      </c>
      <c r="AF3" s="189">
        <f t="shared" si="1"/>
        <v>0</v>
      </c>
      <c r="AG3" s="189">
        <f t="shared" si="1"/>
        <v>0</v>
      </c>
      <c r="AH3" s="189">
        <f t="shared" si="1"/>
        <v>0</v>
      </c>
      <c r="AI3" s="189">
        <f t="shared" si="1"/>
        <v>0</v>
      </c>
      <c r="AJ3" s="189">
        <f t="shared" si="1"/>
        <v>0</v>
      </c>
      <c r="AK3" s="189">
        <f t="shared" si="1"/>
        <v>0</v>
      </c>
      <c r="AL3" s="189">
        <f t="shared" si="1"/>
        <v>0</v>
      </c>
      <c r="AM3" s="189">
        <f t="shared" si="1"/>
        <v>0</v>
      </c>
      <c r="AN3" s="189">
        <f t="shared" si="1"/>
        <v>0</v>
      </c>
      <c r="AO3" s="233">
        <f t="shared" si="1"/>
        <v>0</v>
      </c>
      <c r="AP3" s="189">
        <f t="shared" si="1"/>
        <v>0</v>
      </c>
      <c r="AQ3" s="189">
        <f t="shared" si="1"/>
        <v>0</v>
      </c>
      <c r="AR3" s="189">
        <f t="shared" si="1"/>
        <v>0</v>
      </c>
      <c r="AS3" s="189">
        <f t="shared" si="1"/>
        <v>0</v>
      </c>
      <c r="AT3" s="189">
        <f t="shared" si="1"/>
        <v>0</v>
      </c>
      <c r="AU3" s="200">
        <f t="shared" si="1"/>
        <v>0</v>
      </c>
      <c r="AV3" s="200">
        <f t="shared" si="1"/>
        <v>0</v>
      </c>
      <c r="AW3" s="200">
        <f t="shared" si="1"/>
        <v>0</v>
      </c>
      <c r="AX3" s="241">
        <f aca="true" t="shared" si="2" ref="AX3:BQ3">AX5+AX12</f>
        <v>0</v>
      </c>
      <c r="AY3" s="189">
        <f t="shared" si="2"/>
        <v>0</v>
      </c>
      <c r="AZ3" s="189">
        <f t="shared" si="2"/>
        <v>0</v>
      </c>
      <c r="BA3" s="189">
        <f t="shared" si="2"/>
        <v>0</v>
      </c>
      <c r="BB3" s="189">
        <f t="shared" si="2"/>
        <v>0</v>
      </c>
      <c r="BC3" s="189">
        <f t="shared" si="2"/>
        <v>0</v>
      </c>
      <c r="BD3" s="189">
        <f t="shared" si="2"/>
        <v>0</v>
      </c>
      <c r="BE3" s="189">
        <f t="shared" si="2"/>
        <v>0</v>
      </c>
      <c r="BF3" s="189">
        <f t="shared" si="2"/>
        <v>0</v>
      </c>
      <c r="BG3" s="189">
        <f t="shared" si="2"/>
        <v>0</v>
      </c>
      <c r="BH3" s="189">
        <f t="shared" si="2"/>
        <v>0</v>
      </c>
      <c r="BI3" s="189">
        <f t="shared" si="2"/>
        <v>0</v>
      </c>
      <c r="BJ3" s="189">
        <f t="shared" si="2"/>
        <v>0</v>
      </c>
      <c r="BK3" s="189">
        <f t="shared" si="2"/>
        <v>0</v>
      </c>
      <c r="BL3" s="189">
        <f t="shared" si="2"/>
        <v>0</v>
      </c>
      <c r="BM3" s="189">
        <f t="shared" si="2"/>
        <v>0</v>
      </c>
      <c r="BN3" s="189">
        <f t="shared" si="2"/>
        <v>5475074.279999999</v>
      </c>
      <c r="BO3" s="189">
        <f t="shared" si="2"/>
        <v>5544532.42</v>
      </c>
      <c r="BP3" s="200">
        <f t="shared" si="2"/>
        <v>5532158.13</v>
      </c>
      <c r="BQ3" s="200">
        <f t="shared" si="2"/>
        <v>2343965.5200000005</v>
      </c>
      <c r="BR3" s="54"/>
      <c r="BS3" s="54"/>
      <c r="BT3" s="131"/>
    </row>
    <row r="4" spans="2:69" ht="12.75" customHeight="1" hidden="1" thickBot="1">
      <c r="B4" s="223" t="s">
        <v>94</v>
      </c>
      <c r="C4" s="162"/>
      <c r="D4" s="180">
        <v>13932160</v>
      </c>
      <c r="E4" s="190">
        <f>E7+E13</f>
        <v>12607240.96</v>
      </c>
      <c r="F4" s="190">
        <f>F7+F13</f>
        <v>13884259.05</v>
      </c>
      <c r="G4" s="201">
        <f>G7+G13</f>
        <v>13350114.48</v>
      </c>
      <c r="H4" s="346"/>
      <c r="I4" s="565">
        <f aca="true" t="shared" si="3" ref="I4:N4">I7+I13</f>
        <v>1800000</v>
      </c>
      <c r="J4" s="566">
        <f t="shared" si="3"/>
        <v>2100000</v>
      </c>
      <c r="K4" s="566">
        <f t="shared" si="3"/>
        <v>869000</v>
      </c>
      <c r="L4" s="566">
        <f t="shared" si="3"/>
        <v>4769000</v>
      </c>
      <c r="M4" s="566">
        <f t="shared" si="3"/>
        <v>566670</v>
      </c>
      <c r="N4" s="566">
        <f t="shared" si="3"/>
        <v>5335670</v>
      </c>
      <c r="O4" s="532"/>
      <c r="P4" s="532"/>
      <c r="Q4" s="396"/>
      <c r="R4" s="402">
        <f aca="true" t="shared" si="4" ref="R4:AW4">R7+R13</f>
        <v>820219.76</v>
      </c>
      <c r="S4" s="403">
        <f t="shared" si="4"/>
        <v>760700.96</v>
      </c>
      <c r="T4" s="403">
        <f t="shared" si="4"/>
        <v>352899.37</v>
      </c>
      <c r="U4" s="403">
        <f t="shared" si="4"/>
        <v>778773.62</v>
      </c>
      <c r="V4" s="403">
        <f t="shared" si="4"/>
        <v>745983.6599999999</v>
      </c>
      <c r="W4" s="403">
        <f t="shared" si="4"/>
        <v>1513025.3599999999</v>
      </c>
      <c r="X4" s="190">
        <f t="shared" si="4"/>
        <v>1077475.6099999999</v>
      </c>
      <c r="Y4" s="190">
        <f t="shared" si="4"/>
        <v>221464.45</v>
      </c>
      <c r="Z4" s="190">
        <f t="shared" si="4"/>
        <v>2029705.5699999998</v>
      </c>
      <c r="AA4" s="190">
        <f t="shared" si="4"/>
        <v>2676468.9899999998</v>
      </c>
      <c r="AB4" s="190">
        <f t="shared" si="4"/>
        <v>1728149.0699999998</v>
      </c>
      <c r="AC4" s="190">
        <f t="shared" si="4"/>
        <v>3895630.3</v>
      </c>
      <c r="AD4" s="190">
        <f t="shared" si="4"/>
        <v>0</v>
      </c>
      <c r="AE4" s="190">
        <f t="shared" si="4"/>
        <v>0</v>
      </c>
      <c r="AF4" s="190">
        <f t="shared" si="4"/>
        <v>0</v>
      </c>
      <c r="AG4" s="190">
        <f t="shared" si="4"/>
        <v>0</v>
      </c>
      <c r="AH4" s="190">
        <f t="shared" si="4"/>
        <v>0</v>
      </c>
      <c r="AI4" s="190">
        <f t="shared" si="4"/>
        <v>0</v>
      </c>
      <c r="AJ4" s="190">
        <f t="shared" si="4"/>
        <v>0</v>
      </c>
      <c r="AK4" s="190">
        <f t="shared" si="4"/>
        <v>0</v>
      </c>
      <c r="AL4" s="190">
        <f t="shared" si="4"/>
        <v>0</v>
      </c>
      <c r="AM4" s="190">
        <f t="shared" si="4"/>
        <v>0</v>
      </c>
      <c r="AN4" s="190">
        <f t="shared" si="4"/>
        <v>0</v>
      </c>
      <c r="AO4" s="234">
        <f t="shared" si="4"/>
        <v>0</v>
      </c>
      <c r="AP4" s="190">
        <f t="shared" si="4"/>
        <v>0</v>
      </c>
      <c r="AQ4" s="190">
        <f t="shared" si="4"/>
        <v>0</v>
      </c>
      <c r="AR4" s="190">
        <f t="shared" si="4"/>
        <v>0</v>
      </c>
      <c r="AS4" s="190">
        <f t="shared" si="4"/>
        <v>0</v>
      </c>
      <c r="AT4" s="190">
        <f t="shared" si="4"/>
        <v>0</v>
      </c>
      <c r="AU4" s="201">
        <f t="shared" si="4"/>
        <v>0</v>
      </c>
      <c r="AV4" s="201">
        <f t="shared" si="4"/>
        <v>0</v>
      </c>
      <c r="AW4" s="201">
        <f t="shared" si="4"/>
        <v>0</v>
      </c>
      <c r="AX4" s="242">
        <f aca="true" t="shared" si="5" ref="AX4:BQ4">AX7+AX13</f>
        <v>0</v>
      </c>
      <c r="AY4" s="190">
        <f t="shared" si="5"/>
        <v>0</v>
      </c>
      <c r="AZ4" s="190">
        <f t="shared" si="5"/>
        <v>0</v>
      </c>
      <c r="BA4" s="190">
        <f t="shared" si="5"/>
        <v>0</v>
      </c>
      <c r="BB4" s="190">
        <f t="shared" si="5"/>
        <v>0</v>
      </c>
      <c r="BC4" s="190">
        <f t="shared" si="5"/>
        <v>0</v>
      </c>
      <c r="BD4" s="190">
        <f t="shared" si="5"/>
        <v>0</v>
      </c>
      <c r="BE4" s="190">
        <f t="shared" si="5"/>
        <v>0</v>
      </c>
      <c r="BF4" s="190">
        <f t="shared" si="5"/>
        <v>0</v>
      </c>
      <c r="BG4" s="190">
        <f t="shared" si="5"/>
        <v>0</v>
      </c>
      <c r="BH4" s="190">
        <f t="shared" si="5"/>
        <v>0</v>
      </c>
      <c r="BI4" s="190">
        <f t="shared" si="5"/>
        <v>0</v>
      </c>
      <c r="BJ4" s="190">
        <f t="shared" si="5"/>
        <v>0</v>
      </c>
      <c r="BK4" s="190">
        <f t="shared" si="5"/>
        <v>0</v>
      </c>
      <c r="BL4" s="190">
        <f t="shared" si="5"/>
        <v>0</v>
      </c>
      <c r="BM4" s="190">
        <f t="shared" si="5"/>
        <v>0</v>
      </c>
      <c r="BN4" s="190">
        <f t="shared" si="5"/>
        <v>2676468.9899999998</v>
      </c>
      <c r="BO4" s="190">
        <f t="shared" si="5"/>
        <v>1728149.0699999998</v>
      </c>
      <c r="BP4" s="201">
        <f t="shared" si="5"/>
        <v>3895630.3</v>
      </c>
      <c r="BQ4" s="201">
        <f t="shared" si="5"/>
        <v>3509230.0300000003</v>
      </c>
    </row>
    <row r="5" spans="1:72" s="108" customFormat="1" ht="24.75" customHeight="1" thickBot="1">
      <c r="A5" s="556" t="s">
        <v>71</v>
      </c>
      <c r="B5" s="557"/>
      <c r="C5" s="574"/>
      <c r="D5" s="171">
        <v>9643230</v>
      </c>
      <c r="E5" s="97">
        <v>8954981.64</v>
      </c>
      <c r="F5" s="97">
        <v>9632123.1</v>
      </c>
      <c r="G5" s="575">
        <v>7739690.74</v>
      </c>
      <c r="H5" s="576" t="s">
        <v>92</v>
      </c>
      <c r="I5" s="577">
        <v>1000000</v>
      </c>
      <c r="J5" s="578">
        <v>1000000</v>
      </c>
      <c r="K5" s="171">
        <v>448420</v>
      </c>
      <c r="L5" s="387">
        <f>SUM(I5:K5)</f>
        <v>2448420</v>
      </c>
      <c r="M5" s="579">
        <v>1036000</v>
      </c>
      <c r="N5" s="387">
        <f>L5+M5</f>
        <v>3484420</v>
      </c>
      <c r="O5" s="387">
        <v>6301360</v>
      </c>
      <c r="P5" s="533">
        <f>N5+O5</f>
        <v>9785780</v>
      </c>
      <c r="Q5" s="510">
        <v>906078.44</v>
      </c>
      <c r="R5" s="404">
        <v>896201.37</v>
      </c>
      <c r="S5" s="405">
        <v>996936.03</v>
      </c>
      <c r="T5" s="405"/>
      <c r="U5" s="406">
        <v>934034.41</v>
      </c>
      <c r="V5" s="406">
        <v>999215.04</v>
      </c>
      <c r="W5" s="406">
        <v>1609489.71</v>
      </c>
      <c r="X5" s="104">
        <v>1122468.36</v>
      </c>
      <c r="Y5" s="104">
        <v>447412.49</v>
      </c>
      <c r="Z5" s="105">
        <v>1174472.26</v>
      </c>
      <c r="AA5" s="106">
        <f>R5+U5+X5</f>
        <v>2952704.14</v>
      </c>
      <c r="AB5" s="107">
        <f>S5+V5+Y5</f>
        <v>2443563.56</v>
      </c>
      <c r="AC5" s="109">
        <f>T5+W5+Z5</f>
        <v>2783961.9699999997</v>
      </c>
      <c r="AD5" s="110"/>
      <c r="AE5" s="110"/>
      <c r="AF5" s="110"/>
      <c r="AG5" s="110"/>
      <c r="AH5" s="110"/>
      <c r="AI5" s="110"/>
      <c r="AJ5" s="110"/>
      <c r="AK5" s="110"/>
      <c r="AL5" s="112"/>
      <c r="AM5" s="115">
        <f>AD5+AG5+AJ5</f>
        <v>0</v>
      </c>
      <c r="AN5" s="110">
        <f>AE5+AH5+AK5</f>
        <v>0</v>
      </c>
      <c r="AO5" s="112">
        <f>AF5+AI5+AL5</f>
        <v>0</v>
      </c>
      <c r="AP5" s="115"/>
      <c r="AQ5" s="110"/>
      <c r="AR5" s="116"/>
      <c r="AS5" s="115"/>
      <c r="AT5" s="110"/>
      <c r="AU5" s="116"/>
      <c r="AV5" s="115"/>
      <c r="AW5" s="116"/>
      <c r="AX5" s="303"/>
      <c r="AY5" s="115">
        <f>AP5+AS5+AV5</f>
        <v>0</v>
      </c>
      <c r="AZ5" s="110">
        <f>AQ5+AT5+AW5</f>
        <v>0</v>
      </c>
      <c r="BA5" s="112">
        <f>AR5+AU5+AX5</f>
        <v>0</v>
      </c>
      <c r="BB5" s="110"/>
      <c r="BC5" s="110"/>
      <c r="BD5" s="112"/>
      <c r="BE5" s="115"/>
      <c r="BF5" s="110"/>
      <c r="BG5" s="116"/>
      <c r="BH5" s="114"/>
      <c r="BI5" s="110"/>
      <c r="BJ5" s="112"/>
      <c r="BK5" s="110">
        <f>BB5+BE5+BH5</f>
        <v>0</v>
      </c>
      <c r="BL5" s="110">
        <f>BC5+BF5+BI5</f>
        <v>0</v>
      </c>
      <c r="BM5" s="112">
        <f>BD5+BG5+BJ5</f>
        <v>0</v>
      </c>
      <c r="BN5" s="460">
        <f>AA5+AM5+AY5+BK5</f>
        <v>2952704.14</v>
      </c>
      <c r="BO5" s="460">
        <f>AB5+AN5+AZ5+BL5</f>
        <v>2443563.56</v>
      </c>
      <c r="BP5" s="461">
        <f>AC5+AO5+BA5+BM5</f>
        <v>2783961.9699999997</v>
      </c>
      <c r="BQ5" s="98">
        <f>Q5+BO5-BN5-5332.72</f>
        <v>391605.1399999999</v>
      </c>
      <c r="BR5" s="137">
        <f>L5-BO5</f>
        <v>4856.439999999944</v>
      </c>
      <c r="BS5" s="485"/>
      <c r="BT5" s="501">
        <f>BN5/3</f>
        <v>984234.7133333334</v>
      </c>
    </row>
    <row r="6" spans="1:72" s="8" customFormat="1" ht="36.75" customHeight="1" thickBot="1">
      <c r="A6" s="79" t="s">
        <v>2</v>
      </c>
      <c r="B6" s="371" t="s">
        <v>3</v>
      </c>
      <c r="C6" s="364"/>
      <c r="D6" s="567" t="s">
        <v>99</v>
      </c>
      <c r="E6" s="361" t="s">
        <v>115</v>
      </c>
      <c r="F6" s="362" t="s">
        <v>108</v>
      </c>
      <c r="G6" s="363" t="s">
        <v>109</v>
      </c>
      <c r="H6" s="568" t="s">
        <v>106</v>
      </c>
      <c r="I6" s="569" t="s">
        <v>111</v>
      </c>
      <c r="J6" s="570" t="s">
        <v>112</v>
      </c>
      <c r="K6" s="570" t="s">
        <v>122</v>
      </c>
      <c r="L6" s="571" t="s">
        <v>123</v>
      </c>
      <c r="M6" s="570" t="s">
        <v>128</v>
      </c>
      <c r="N6" s="572" t="s">
        <v>129</v>
      </c>
      <c r="O6" s="573" t="s">
        <v>132</v>
      </c>
      <c r="P6" s="580" t="s">
        <v>133</v>
      </c>
      <c r="Q6" s="511" t="s">
        <v>116</v>
      </c>
      <c r="R6" s="407" t="s">
        <v>40</v>
      </c>
      <c r="S6" s="408" t="s">
        <v>41</v>
      </c>
      <c r="T6" s="409" t="s">
        <v>95</v>
      </c>
      <c r="U6" s="410" t="s">
        <v>42</v>
      </c>
      <c r="V6" s="408" t="s">
        <v>43</v>
      </c>
      <c r="W6" s="409" t="s">
        <v>96</v>
      </c>
      <c r="X6" s="80" t="s">
        <v>44</v>
      </c>
      <c r="Y6" s="81" t="s">
        <v>45</v>
      </c>
      <c r="Z6" s="82" t="s">
        <v>97</v>
      </c>
      <c r="AA6" s="83" t="s">
        <v>46</v>
      </c>
      <c r="AB6" s="84" t="s">
        <v>69</v>
      </c>
      <c r="AC6" s="85" t="s">
        <v>98</v>
      </c>
      <c r="AD6" s="80" t="s">
        <v>48</v>
      </c>
      <c r="AE6" s="86" t="s">
        <v>49</v>
      </c>
      <c r="AF6" s="87" t="s">
        <v>77</v>
      </c>
      <c r="AG6" s="80" t="s">
        <v>50</v>
      </c>
      <c r="AH6" s="86" t="s">
        <v>51</v>
      </c>
      <c r="AI6" s="136" t="s">
        <v>78</v>
      </c>
      <c r="AJ6" s="80" t="s">
        <v>52</v>
      </c>
      <c r="AK6" s="86" t="s">
        <v>53</v>
      </c>
      <c r="AL6" s="113" t="s">
        <v>79</v>
      </c>
      <c r="AM6" s="83" t="s">
        <v>54</v>
      </c>
      <c r="AN6" s="84" t="s">
        <v>70</v>
      </c>
      <c r="AO6" s="158" t="s">
        <v>80</v>
      </c>
      <c r="AP6" s="94" t="s">
        <v>55</v>
      </c>
      <c r="AQ6" s="95" t="s">
        <v>56</v>
      </c>
      <c r="AR6" s="119" t="s">
        <v>82</v>
      </c>
      <c r="AS6" s="94" t="s">
        <v>57</v>
      </c>
      <c r="AT6" s="95" t="s">
        <v>58</v>
      </c>
      <c r="AU6" s="119" t="s">
        <v>83</v>
      </c>
      <c r="AV6" s="94" t="s">
        <v>59</v>
      </c>
      <c r="AW6" s="308" t="s">
        <v>60</v>
      </c>
      <c r="AX6" s="304" t="s">
        <v>84</v>
      </c>
      <c r="AY6" s="83" t="s">
        <v>61</v>
      </c>
      <c r="AZ6" s="84" t="s">
        <v>73</v>
      </c>
      <c r="BA6" s="158" t="s">
        <v>81</v>
      </c>
      <c r="BB6" s="81" t="s">
        <v>62</v>
      </c>
      <c r="BC6" s="86" t="s">
        <v>63</v>
      </c>
      <c r="BD6" s="113" t="s">
        <v>85</v>
      </c>
      <c r="BE6" s="80" t="s">
        <v>64</v>
      </c>
      <c r="BF6" s="86" t="s">
        <v>65</v>
      </c>
      <c r="BG6" s="87" t="s">
        <v>86</v>
      </c>
      <c r="BH6" s="118" t="s">
        <v>66</v>
      </c>
      <c r="BI6" s="86" t="s">
        <v>67</v>
      </c>
      <c r="BJ6" s="113" t="s">
        <v>87</v>
      </c>
      <c r="BK6" s="83" t="s">
        <v>68</v>
      </c>
      <c r="BL6" s="84" t="s">
        <v>75</v>
      </c>
      <c r="BM6" s="85" t="s">
        <v>88</v>
      </c>
      <c r="BN6" s="483" t="s">
        <v>125</v>
      </c>
      <c r="BO6" s="463" t="s">
        <v>117</v>
      </c>
      <c r="BP6" s="464" t="s">
        <v>118</v>
      </c>
      <c r="BQ6" s="465" t="s">
        <v>131</v>
      </c>
      <c r="BR6" s="484" t="s">
        <v>119</v>
      </c>
      <c r="BS6" s="484" t="s">
        <v>100</v>
      </c>
      <c r="BT6" s="502" t="s">
        <v>127</v>
      </c>
    </row>
    <row r="7" spans="1:72" s="1" customFormat="1" ht="18.75" customHeight="1">
      <c r="A7" s="554" t="s">
        <v>7</v>
      </c>
      <c r="B7" s="372" t="s">
        <v>101</v>
      </c>
      <c r="C7" s="163"/>
      <c r="D7" s="296">
        <v>6933000</v>
      </c>
      <c r="E7" s="55">
        <v>6733954.23</v>
      </c>
      <c r="F7" s="56">
        <v>6906574.470000001</v>
      </c>
      <c r="G7" s="202">
        <v>7876461.82</v>
      </c>
      <c r="H7" s="351"/>
      <c r="I7" s="150">
        <v>1000000</v>
      </c>
      <c r="J7" s="339">
        <v>1000000</v>
      </c>
      <c r="K7" s="172">
        <v>400000</v>
      </c>
      <c r="L7" s="388">
        <f>SUM(I7:K7)</f>
        <v>2400000</v>
      </c>
      <c r="M7" s="503">
        <v>0</v>
      </c>
      <c r="N7" s="388">
        <f>L7+M7</f>
        <v>2400000</v>
      </c>
      <c r="O7" s="524">
        <v>3000000</v>
      </c>
      <c r="P7" s="524">
        <f>N7+O7</f>
        <v>5400000</v>
      </c>
      <c r="Q7" s="512">
        <v>2597003.8</v>
      </c>
      <c r="R7" s="411">
        <v>440961.77</v>
      </c>
      <c r="S7" s="412">
        <v>542440.27</v>
      </c>
      <c r="T7" s="413">
        <v>82230</v>
      </c>
      <c r="U7" s="414">
        <v>369447.95</v>
      </c>
      <c r="V7" s="412">
        <v>313885.68</v>
      </c>
      <c r="W7" s="413">
        <v>361330.89</v>
      </c>
      <c r="X7" s="28">
        <v>594185.62</v>
      </c>
      <c r="Y7" s="29">
        <v>157911.15</v>
      </c>
      <c r="Z7" s="31">
        <v>813718.86</v>
      </c>
      <c r="AA7" s="55">
        <f aca="true" t="shared" si="6" ref="AA7:AC8">R7+U7+X7</f>
        <v>1404595.3399999999</v>
      </c>
      <c r="AB7" s="56">
        <f t="shared" si="6"/>
        <v>1014237.1</v>
      </c>
      <c r="AC7" s="57">
        <f t="shared" si="6"/>
        <v>1257279.75</v>
      </c>
      <c r="AD7" s="28"/>
      <c r="AE7" s="30"/>
      <c r="AF7" s="14"/>
      <c r="AG7" s="28"/>
      <c r="AH7" s="30"/>
      <c r="AI7" s="31"/>
      <c r="AJ7" s="28"/>
      <c r="AK7" s="30"/>
      <c r="AL7" s="74"/>
      <c r="AM7" s="55">
        <f aca="true" t="shared" si="7" ref="AM7:AO8">AD7+AG7+AJ7</f>
        <v>0</v>
      </c>
      <c r="AN7" s="56">
        <f t="shared" si="7"/>
        <v>0</v>
      </c>
      <c r="AO7" s="235">
        <f t="shared" si="7"/>
        <v>0</v>
      </c>
      <c r="AP7" s="28"/>
      <c r="AQ7" s="30"/>
      <c r="AR7" s="14"/>
      <c r="AS7" s="28"/>
      <c r="AT7" s="30"/>
      <c r="AU7" s="14"/>
      <c r="AV7" s="28"/>
      <c r="AW7" s="31"/>
      <c r="AX7" s="305"/>
      <c r="AY7" s="28">
        <f aca="true" t="shared" si="8" ref="AY7:BA8">AP7+AS7+AV7</f>
        <v>0</v>
      </c>
      <c r="AZ7" s="29">
        <f t="shared" si="8"/>
        <v>0</v>
      </c>
      <c r="BA7" s="30">
        <f t="shared" si="8"/>
        <v>0</v>
      </c>
      <c r="BB7" s="29"/>
      <c r="BC7" s="30"/>
      <c r="BD7" s="74"/>
      <c r="BE7" s="28"/>
      <c r="BF7" s="30"/>
      <c r="BG7" s="14"/>
      <c r="BH7" s="120"/>
      <c r="BI7" s="30"/>
      <c r="BJ7" s="74"/>
      <c r="BK7" s="28">
        <f aca="true" t="shared" si="9" ref="BK7:BM8">BB7+BE7+BH7</f>
        <v>0</v>
      </c>
      <c r="BL7" s="29">
        <f t="shared" si="9"/>
        <v>0</v>
      </c>
      <c r="BM7" s="30">
        <f t="shared" si="9"/>
        <v>0</v>
      </c>
      <c r="BN7" s="66">
        <f aca="true" t="shared" si="10" ref="BN7:BP8">AA7+AM7+AY7+BK7</f>
        <v>1404595.3399999999</v>
      </c>
      <c r="BO7" s="67">
        <f t="shared" si="10"/>
        <v>1014237.1</v>
      </c>
      <c r="BP7" s="462">
        <f t="shared" si="10"/>
        <v>1257279.75</v>
      </c>
      <c r="BQ7" s="111">
        <f>Q7+BO7-BN7-7431.3</f>
        <v>2199214.2600000002</v>
      </c>
      <c r="BR7" s="138">
        <f>L7-BO7</f>
        <v>1385762.9</v>
      </c>
      <c r="BS7" s="486"/>
      <c r="BT7" s="135">
        <f aca="true" t="shared" si="11" ref="BT7:BT17">BN7/3</f>
        <v>468198.4466666666</v>
      </c>
    </row>
    <row r="8" spans="1:72" s="1" customFormat="1" ht="18.75" customHeight="1" thickBot="1">
      <c r="A8" s="558"/>
      <c r="B8" s="373" t="s">
        <v>5</v>
      </c>
      <c r="C8" s="154"/>
      <c r="D8" s="296">
        <v>13300000</v>
      </c>
      <c r="E8" s="58">
        <v>14995848.489999998</v>
      </c>
      <c r="F8" s="59">
        <v>0</v>
      </c>
      <c r="G8" s="203">
        <v>0</v>
      </c>
      <c r="H8" s="347"/>
      <c r="I8" s="327">
        <v>930000</v>
      </c>
      <c r="J8" s="340">
        <v>930000</v>
      </c>
      <c r="K8" s="467">
        <v>0</v>
      </c>
      <c r="L8" s="297">
        <f>SUM(I8:K8)</f>
        <v>1860000</v>
      </c>
      <c r="M8" s="504">
        <v>1200000</v>
      </c>
      <c r="N8" s="297">
        <f>L8+M8</f>
        <v>3060000</v>
      </c>
      <c r="O8" s="525">
        <v>6000000</v>
      </c>
      <c r="P8" s="525">
        <f>N8+O8</f>
        <v>9060000</v>
      </c>
      <c r="Q8" s="513"/>
      <c r="R8" s="415">
        <v>1064673.76</v>
      </c>
      <c r="S8" s="416"/>
      <c r="T8" s="417"/>
      <c r="U8" s="418">
        <v>1256325.81</v>
      </c>
      <c r="V8" s="416"/>
      <c r="W8" s="417"/>
      <c r="X8" s="32">
        <v>1117122.93</v>
      </c>
      <c r="Y8" s="33"/>
      <c r="Z8" s="35"/>
      <c r="AA8" s="58">
        <f t="shared" si="6"/>
        <v>3438122.5</v>
      </c>
      <c r="AB8" s="59">
        <f t="shared" si="6"/>
        <v>0</v>
      </c>
      <c r="AC8" s="25">
        <f t="shared" si="6"/>
        <v>0</v>
      </c>
      <c r="AD8" s="32"/>
      <c r="AE8" s="34"/>
      <c r="AF8" s="15"/>
      <c r="AG8" s="32"/>
      <c r="AH8" s="34"/>
      <c r="AI8" s="35"/>
      <c r="AJ8" s="32"/>
      <c r="AK8" s="34"/>
      <c r="AL8" s="75"/>
      <c r="AM8" s="58">
        <f t="shared" si="7"/>
        <v>0</v>
      </c>
      <c r="AN8" s="59">
        <f t="shared" si="7"/>
        <v>0</v>
      </c>
      <c r="AO8" s="88">
        <f t="shared" si="7"/>
        <v>0</v>
      </c>
      <c r="AP8" s="32"/>
      <c r="AQ8" s="34"/>
      <c r="AR8" s="15"/>
      <c r="AS8" s="32"/>
      <c r="AT8" s="34"/>
      <c r="AU8" s="15"/>
      <c r="AV8" s="32"/>
      <c r="AW8" s="35"/>
      <c r="AX8" s="127"/>
      <c r="AY8" s="32">
        <f t="shared" si="8"/>
        <v>0</v>
      </c>
      <c r="AZ8" s="33">
        <f t="shared" si="8"/>
        <v>0</v>
      </c>
      <c r="BA8" s="34">
        <f t="shared" si="8"/>
        <v>0</v>
      </c>
      <c r="BB8" s="33"/>
      <c r="BC8" s="34"/>
      <c r="BD8" s="75"/>
      <c r="BE8" s="32"/>
      <c r="BF8" s="34"/>
      <c r="BG8" s="15"/>
      <c r="BH8" s="121"/>
      <c r="BI8" s="34"/>
      <c r="BJ8" s="75"/>
      <c r="BK8" s="32">
        <f t="shared" si="9"/>
        <v>0</v>
      </c>
      <c r="BL8" s="33">
        <f t="shared" si="9"/>
        <v>0</v>
      </c>
      <c r="BM8" s="34">
        <f t="shared" si="9"/>
        <v>0</v>
      </c>
      <c r="BN8" s="66">
        <f t="shared" si="10"/>
        <v>3438122.5</v>
      </c>
      <c r="BO8" s="67">
        <f t="shared" si="10"/>
        <v>0</v>
      </c>
      <c r="BP8" s="203">
        <f t="shared" si="10"/>
        <v>0</v>
      </c>
      <c r="BQ8" s="93"/>
      <c r="BR8" s="139"/>
      <c r="BS8" s="487">
        <f>L8-BN8</f>
        <v>-1578122.5</v>
      </c>
      <c r="BT8" s="225">
        <f t="shared" si="11"/>
        <v>1146040.8333333333</v>
      </c>
    </row>
    <row r="9" spans="1:72" s="1" customFormat="1" ht="24" customHeight="1" thickBot="1">
      <c r="A9" s="546" t="s">
        <v>35</v>
      </c>
      <c r="B9" s="547"/>
      <c r="C9" s="91"/>
      <c r="D9" s="173">
        <v>29939970</v>
      </c>
      <c r="E9" s="204">
        <v>30684784.36</v>
      </c>
      <c r="F9" s="204">
        <v>16538697.57</v>
      </c>
      <c r="G9" s="204">
        <v>15616152.56</v>
      </c>
      <c r="H9" s="384">
        <v>1594576.06</v>
      </c>
      <c r="I9" s="328">
        <f aca="true" t="shared" si="12" ref="I9:AP9">I5+I7+I8</f>
        <v>2930000</v>
      </c>
      <c r="J9" s="232">
        <f t="shared" si="12"/>
        <v>2930000</v>
      </c>
      <c r="K9" s="232">
        <f t="shared" si="12"/>
        <v>848420</v>
      </c>
      <c r="L9" s="298">
        <f t="shared" si="12"/>
        <v>6708420</v>
      </c>
      <c r="M9" s="298">
        <f t="shared" si="12"/>
        <v>2236000</v>
      </c>
      <c r="N9" s="298">
        <f t="shared" si="12"/>
        <v>8944420</v>
      </c>
      <c r="O9" s="298">
        <f>O5+O7+O8</f>
        <v>15301360</v>
      </c>
      <c r="P9" s="298">
        <f>P5+P7+P8</f>
        <v>24245780</v>
      </c>
      <c r="Q9" s="228">
        <f t="shared" si="12"/>
        <v>3503082.2399999998</v>
      </c>
      <c r="R9" s="419">
        <f t="shared" si="12"/>
        <v>2401836.9000000004</v>
      </c>
      <c r="S9" s="420">
        <f t="shared" si="12"/>
        <v>1539376.3</v>
      </c>
      <c r="T9" s="420">
        <f t="shared" si="12"/>
        <v>82230</v>
      </c>
      <c r="U9" s="420">
        <f t="shared" si="12"/>
        <v>2559808.17</v>
      </c>
      <c r="V9" s="420">
        <f t="shared" si="12"/>
        <v>1313100.72</v>
      </c>
      <c r="W9" s="420">
        <f t="shared" si="12"/>
        <v>1970820.6</v>
      </c>
      <c r="X9" s="204">
        <f t="shared" si="12"/>
        <v>2833776.91</v>
      </c>
      <c r="Y9" s="204">
        <f t="shared" si="12"/>
        <v>605323.64</v>
      </c>
      <c r="Z9" s="204">
        <f t="shared" si="12"/>
        <v>1988191.12</v>
      </c>
      <c r="AA9" s="204">
        <f t="shared" si="12"/>
        <v>7795421.98</v>
      </c>
      <c r="AB9" s="204">
        <f t="shared" si="12"/>
        <v>3457800.66</v>
      </c>
      <c r="AC9" s="204">
        <f t="shared" si="12"/>
        <v>4041241.7199999997</v>
      </c>
      <c r="AD9" s="204">
        <f t="shared" si="12"/>
        <v>0</v>
      </c>
      <c r="AE9" s="204">
        <f t="shared" si="12"/>
        <v>0</v>
      </c>
      <c r="AF9" s="204">
        <f t="shared" si="12"/>
        <v>0</v>
      </c>
      <c r="AG9" s="204">
        <f t="shared" si="12"/>
        <v>0</v>
      </c>
      <c r="AH9" s="204">
        <f t="shared" si="12"/>
        <v>0</v>
      </c>
      <c r="AI9" s="204">
        <f t="shared" si="12"/>
        <v>0</v>
      </c>
      <c r="AJ9" s="204">
        <f t="shared" si="12"/>
        <v>0</v>
      </c>
      <c r="AK9" s="204">
        <f t="shared" si="12"/>
        <v>0</v>
      </c>
      <c r="AL9" s="45">
        <f t="shared" si="12"/>
        <v>0</v>
      </c>
      <c r="AM9" s="45">
        <f t="shared" si="12"/>
        <v>0</v>
      </c>
      <c r="AN9" s="45">
        <f t="shared" si="12"/>
        <v>0</v>
      </c>
      <c r="AO9" s="45">
        <f t="shared" si="12"/>
        <v>0</v>
      </c>
      <c r="AP9" s="204">
        <f t="shared" si="12"/>
        <v>0</v>
      </c>
      <c r="AQ9" s="204">
        <f aca="true" t="shared" si="13" ref="AQ9:BQ9">AQ5+AQ7+AQ8</f>
        <v>0</v>
      </c>
      <c r="AR9" s="204">
        <f t="shared" si="13"/>
        <v>0</v>
      </c>
      <c r="AS9" s="204">
        <f t="shared" si="13"/>
        <v>0</v>
      </c>
      <c r="AT9" s="204">
        <f t="shared" si="13"/>
        <v>0</v>
      </c>
      <c r="AU9" s="204">
        <f t="shared" si="13"/>
        <v>0</v>
      </c>
      <c r="AV9" s="204">
        <f t="shared" si="13"/>
        <v>0</v>
      </c>
      <c r="AW9" s="204">
        <f t="shared" si="13"/>
        <v>0</v>
      </c>
      <c r="AX9" s="228">
        <f t="shared" si="13"/>
        <v>0</v>
      </c>
      <c r="AY9" s="204">
        <f t="shared" si="13"/>
        <v>0</v>
      </c>
      <c r="AZ9" s="204">
        <f t="shared" si="13"/>
        <v>0</v>
      </c>
      <c r="BA9" s="204">
        <f t="shared" si="13"/>
        <v>0</v>
      </c>
      <c r="BB9" s="204">
        <f t="shared" si="13"/>
        <v>0</v>
      </c>
      <c r="BC9" s="204">
        <f t="shared" si="13"/>
        <v>0</v>
      </c>
      <c r="BD9" s="204">
        <f t="shared" si="13"/>
        <v>0</v>
      </c>
      <c r="BE9" s="204">
        <f t="shared" si="13"/>
        <v>0</v>
      </c>
      <c r="BF9" s="204">
        <f t="shared" si="13"/>
        <v>0</v>
      </c>
      <c r="BG9" s="204">
        <f t="shared" si="13"/>
        <v>0</v>
      </c>
      <c r="BH9" s="204">
        <f t="shared" si="13"/>
        <v>0</v>
      </c>
      <c r="BI9" s="204">
        <f t="shared" si="13"/>
        <v>0</v>
      </c>
      <c r="BJ9" s="204">
        <f t="shared" si="13"/>
        <v>0</v>
      </c>
      <c r="BK9" s="204">
        <f t="shared" si="13"/>
        <v>0</v>
      </c>
      <c r="BL9" s="204">
        <f t="shared" si="13"/>
        <v>0</v>
      </c>
      <c r="BM9" s="204">
        <f t="shared" si="13"/>
        <v>0</v>
      </c>
      <c r="BN9" s="204">
        <f t="shared" si="13"/>
        <v>7795421.98</v>
      </c>
      <c r="BO9" s="204">
        <f t="shared" si="13"/>
        <v>3457800.66</v>
      </c>
      <c r="BP9" s="204">
        <f t="shared" si="13"/>
        <v>4041241.7199999997</v>
      </c>
      <c r="BQ9" s="204">
        <f t="shared" si="13"/>
        <v>2590819.4000000004</v>
      </c>
      <c r="BR9" s="560">
        <f>BR5+BR7+BS8</f>
        <v>-187503.16000000015</v>
      </c>
      <c r="BS9" s="561"/>
      <c r="BT9" s="500">
        <f t="shared" si="11"/>
        <v>2598473.9933333336</v>
      </c>
    </row>
    <row r="10" spans="1:72" s="1" customFormat="1" ht="16.5" customHeight="1" thickBot="1">
      <c r="A10" s="22"/>
      <c r="B10" s="374" t="s">
        <v>102</v>
      </c>
      <c r="C10" s="163"/>
      <c r="D10" s="296">
        <v>4019000</v>
      </c>
      <c r="E10" s="302">
        <v>3865090.47</v>
      </c>
      <c r="F10" s="59">
        <v>0</v>
      </c>
      <c r="G10" s="203">
        <v>0</v>
      </c>
      <c r="H10" s="348"/>
      <c r="I10" s="150">
        <v>254000</v>
      </c>
      <c r="J10" s="339">
        <v>300000</v>
      </c>
      <c r="K10" s="172">
        <v>0</v>
      </c>
      <c r="L10" s="297">
        <f>SUM(I10:K10)</f>
        <v>554000</v>
      </c>
      <c r="M10" s="504">
        <v>100000</v>
      </c>
      <c r="N10" s="297">
        <f>L10+M10</f>
        <v>654000</v>
      </c>
      <c r="O10" s="525">
        <v>600000</v>
      </c>
      <c r="P10" s="525">
        <f>N10+O10</f>
        <v>1254000</v>
      </c>
      <c r="Q10" s="513"/>
      <c r="R10" s="415">
        <v>168132.24</v>
      </c>
      <c r="S10" s="416"/>
      <c r="T10" s="417"/>
      <c r="U10" s="418">
        <f>135005.26+23863.52</f>
        <v>158868.78</v>
      </c>
      <c r="V10" s="416"/>
      <c r="W10" s="417"/>
      <c r="X10" s="32">
        <f>174737.54+23863.52</f>
        <v>198601.06</v>
      </c>
      <c r="Y10" s="33"/>
      <c r="Z10" s="35"/>
      <c r="AA10" s="58">
        <f>R10+U10+X10</f>
        <v>525602.0800000001</v>
      </c>
      <c r="AB10" s="59">
        <f>S10+V10+Y10</f>
        <v>0</v>
      </c>
      <c r="AC10" s="25">
        <f>T10+W10+Z10</f>
        <v>0</v>
      </c>
      <c r="AD10" s="32"/>
      <c r="AE10" s="34"/>
      <c r="AF10" s="15"/>
      <c r="AG10" s="32"/>
      <c r="AH10" s="34"/>
      <c r="AI10" s="35"/>
      <c r="AJ10" s="32"/>
      <c r="AK10" s="34"/>
      <c r="AL10" s="75"/>
      <c r="AM10" s="58">
        <f>AD10+AG10+AJ10</f>
        <v>0</v>
      </c>
      <c r="AN10" s="59">
        <f>AE10+AH10+AK10</f>
        <v>0</v>
      </c>
      <c r="AO10" s="88">
        <f>AF10+AI10+AL10</f>
        <v>0</v>
      </c>
      <c r="AP10" s="32"/>
      <c r="AQ10" s="34"/>
      <c r="AR10" s="15"/>
      <c r="AS10" s="32"/>
      <c r="AT10" s="34"/>
      <c r="AU10" s="15"/>
      <c r="AV10" s="32"/>
      <c r="AW10" s="35"/>
      <c r="AX10" s="127"/>
      <c r="AY10" s="32">
        <f>AP10+AS10+AV10</f>
        <v>0</v>
      </c>
      <c r="AZ10" s="33">
        <f>AQ10+AT10+AW10</f>
        <v>0</v>
      </c>
      <c r="BA10" s="34">
        <f>AR10+AU10+AX10</f>
        <v>0</v>
      </c>
      <c r="BB10" s="309"/>
      <c r="BC10" s="34"/>
      <c r="BD10" s="75"/>
      <c r="BE10" s="32"/>
      <c r="BF10" s="34"/>
      <c r="BG10" s="15"/>
      <c r="BH10" s="316"/>
      <c r="BI10" s="34"/>
      <c r="BJ10" s="75"/>
      <c r="BK10" s="32">
        <f aca="true" t="shared" si="14" ref="BK10:BM13">BB10+BE10+BH10</f>
        <v>0</v>
      </c>
      <c r="BL10" s="33">
        <f t="shared" si="14"/>
        <v>0</v>
      </c>
      <c r="BM10" s="34">
        <f t="shared" si="14"/>
        <v>0</v>
      </c>
      <c r="BN10" s="58">
        <f aca="true" t="shared" si="15" ref="BN10:BP13">AA10+AM10+AY10+BK10</f>
        <v>525602.0800000001</v>
      </c>
      <c r="BO10" s="59">
        <f t="shared" si="15"/>
        <v>0</v>
      </c>
      <c r="BP10" s="203">
        <f t="shared" si="15"/>
        <v>0</v>
      </c>
      <c r="BQ10" s="214"/>
      <c r="BR10" s="140"/>
      <c r="BS10" s="488">
        <f>L10-BN10</f>
        <v>28397.919999999925</v>
      </c>
      <c r="BT10" s="226">
        <f t="shared" si="11"/>
        <v>175200.69333333336</v>
      </c>
    </row>
    <row r="11" spans="1:72" s="1" customFormat="1" ht="16.5" customHeight="1" thickBot="1">
      <c r="A11" s="249"/>
      <c r="B11" s="250" t="s">
        <v>103</v>
      </c>
      <c r="C11" s="163"/>
      <c r="D11" s="310">
        <v>22060</v>
      </c>
      <c r="E11" s="58">
        <v>13235.73</v>
      </c>
      <c r="F11" s="59">
        <v>0</v>
      </c>
      <c r="G11" s="203">
        <v>0</v>
      </c>
      <c r="H11" s="312">
        <v>-8824.27</v>
      </c>
      <c r="I11" s="148">
        <v>5000</v>
      </c>
      <c r="J11" s="341">
        <v>5000</v>
      </c>
      <c r="K11" s="174">
        <v>0</v>
      </c>
      <c r="L11" s="297">
        <f>SUM(I11:K11)</f>
        <v>10000</v>
      </c>
      <c r="M11" s="504">
        <v>3330</v>
      </c>
      <c r="N11" s="297">
        <f>L11+M11</f>
        <v>13330</v>
      </c>
      <c r="O11" s="525">
        <v>26670</v>
      </c>
      <c r="P11" s="525">
        <f>N11+O11</f>
        <v>40000</v>
      </c>
      <c r="Q11" s="513"/>
      <c r="R11" s="415">
        <v>4411.91</v>
      </c>
      <c r="S11" s="416"/>
      <c r="T11" s="417"/>
      <c r="U11" s="418">
        <v>0</v>
      </c>
      <c r="V11" s="416"/>
      <c r="W11" s="417"/>
      <c r="X11" s="32">
        <v>0</v>
      </c>
      <c r="Y11" s="33"/>
      <c r="Z11" s="35"/>
      <c r="AA11" s="58">
        <f>R11+U11+X11</f>
        <v>4411.91</v>
      </c>
      <c r="AB11" s="59"/>
      <c r="AC11" s="25"/>
      <c r="AD11" s="32"/>
      <c r="AE11" s="34"/>
      <c r="AF11" s="15"/>
      <c r="AG11" s="32"/>
      <c r="AH11" s="34"/>
      <c r="AI11" s="35"/>
      <c r="AJ11" s="32"/>
      <c r="AK11" s="34"/>
      <c r="AL11" s="75"/>
      <c r="AM11" s="58">
        <f>AD11+AG11+AJ11</f>
        <v>0</v>
      </c>
      <c r="AN11" s="59"/>
      <c r="AO11" s="88"/>
      <c r="AP11" s="32"/>
      <c r="AQ11" s="34"/>
      <c r="AR11" s="15"/>
      <c r="AS11" s="32"/>
      <c r="AT11" s="34"/>
      <c r="AU11" s="15"/>
      <c r="AV11" s="32"/>
      <c r="AW11" s="35"/>
      <c r="AX11" s="127"/>
      <c r="AY11" s="32">
        <f>AP11+AS11+AV11</f>
        <v>0</v>
      </c>
      <c r="AZ11" s="33"/>
      <c r="BA11" s="34"/>
      <c r="BB11" s="33"/>
      <c r="BC11" s="34"/>
      <c r="BD11" s="75"/>
      <c r="BE11" s="32"/>
      <c r="BF11" s="34"/>
      <c r="BG11" s="15"/>
      <c r="BH11" s="121"/>
      <c r="BI11" s="34"/>
      <c r="BJ11" s="75"/>
      <c r="BK11" s="32">
        <f t="shared" si="14"/>
        <v>0</v>
      </c>
      <c r="BL11" s="33">
        <f t="shared" si="14"/>
        <v>0</v>
      </c>
      <c r="BM11" s="34">
        <f t="shared" si="14"/>
        <v>0</v>
      </c>
      <c r="BN11" s="58">
        <f t="shared" si="15"/>
        <v>4411.91</v>
      </c>
      <c r="BO11" s="59">
        <f t="shared" si="15"/>
        <v>0</v>
      </c>
      <c r="BP11" s="203">
        <f t="shared" si="15"/>
        <v>0</v>
      </c>
      <c r="BQ11" s="214"/>
      <c r="BR11" s="146"/>
      <c r="BS11" s="488">
        <f>L11-BN11</f>
        <v>5588.09</v>
      </c>
      <c r="BT11" s="135">
        <f t="shared" si="11"/>
        <v>1470.6366666666665</v>
      </c>
    </row>
    <row r="12" spans="1:72" s="1" customFormat="1" ht="16.5" customHeight="1">
      <c r="A12" s="22"/>
      <c r="B12" s="374" t="s">
        <v>89</v>
      </c>
      <c r="C12" s="127"/>
      <c r="D12" s="297">
        <v>8652660</v>
      </c>
      <c r="E12" s="58">
        <v>7628513.04</v>
      </c>
      <c r="F12" s="59">
        <v>8664257.969999999</v>
      </c>
      <c r="G12" s="203">
        <v>7343743.71</v>
      </c>
      <c r="H12" s="349"/>
      <c r="I12" s="148">
        <v>600000</v>
      </c>
      <c r="J12" s="341">
        <v>1280000</v>
      </c>
      <c r="K12" s="174">
        <f>400000+800000</f>
        <v>1200000</v>
      </c>
      <c r="L12" s="297">
        <f>SUM(I12:K12)</f>
        <v>3080000</v>
      </c>
      <c r="M12" s="504">
        <v>2000000</v>
      </c>
      <c r="N12" s="297">
        <f>L12+M12</f>
        <v>5080000</v>
      </c>
      <c r="O12" s="525">
        <v>5671790</v>
      </c>
      <c r="P12" s="525">
        <f>N12+O12</f>
        <v>10751790</v>
      </c>
      <c r="Q12" s="513">
        <v>1373761.66</v>
      </c>
      <c r="R12" s="415">
        <v>656846.86</v>
      </c>
      <c r="S12" s="416">
        <v>630550.06</v>
      </c>
      <c r="T12" s="417">
        <v>1197690.86</v>
      </c>
      <c r="U12" s="418">
        <v>817381.56</v>
      </c>
      <c r="V12" s="416">
        <v>1278610.83</v>
      </c>
      <c r="W12" s="417">
        <v>710027.88</v>
      </c>
      <c r="X12" s="32">
        <v>1048141.72</v>
      </c>
      <c r="Y12" s="33">
        <v>1191807.97</v>
      </c>
      <c r="Z12" s="35">
        <v>840477.42</v>
      </c>
      <c r="AA12" s="58">
        <f>R12+U12+X12</f>
        <v>2522370.1399999997</v>
      </c>
      <c r="AB12" s="59">
        <f>S12+V12+Y12</f>
        <v>3100968.8600000003</v>
      </c>
      <c r="AC12" s="25">
        <f>T12+W12+Z12</f>
        <v>2748196.16</v>
      </c>
      <c r="AD12" s="32"/>
      <c r="AE12" s="34"/>
      <c r="AF12" s="15"/>
      <c r="AG12" s="32"/>
      <c r="AH12" s="34"/>
      <c r="AI12" s="35"/>
      <c r="AJ12" s="32"/>
      <c r="AK12" s="34"/>
      <c r="AL12" s="75"/>
      <c r="AM12" s="58">
        <f>AD12+AG12+AJ12</f>
        <v>0</v>
      </c>
      <c r="AN12" s="59">
        <f>AE12+AH12+AK12</f>
        <v>0</v>
      </c>
      <c r="AO12" s="88">
        <f>AF12+AI12+AL12</f>
        <v>0</v>
      </c>
      <c r="AP12" s="32"/>
      <c r="AQ12" s="34"/>
      <c r="AR12" s="15"/>
      <c r="AS12" s="32"/>
      <c r="AT12" s="34"/>
      <c r="AU12" s="15"/>
      <c r="AV12" s="32"/>
      <c r="AW12" s="35"/>
      <c r="AX12" s="127"/>
      <c r="AY12" s="32">
        <f>AP12+AS12+AV12</f>
        <v>0</v>
      </c>
      <c r="AZ12" s="33">
        <f>AQ12+AT12+AW12</f>
        <v>0</v>
      </c>
      <c r="BA12" s="34">
        <f>AR12+AU12+AX12</f>
        <v>0</v>
      </c>
      <c r="BB12" s="33"/>
      <c r="BC12" s="34"/>
      <c r="BD12" s="75"/>
      <c r="BE12" s="32"/>
      <c r="BF12" s="34"/>
      <c r="BG12" s="15"/>
      <c r="BH12" s="121"/>
      <c r="BI12" s="34"/>
      <c r="BJ12" s="75"/>
      <c r="BK12" s="32">
        <f t="shared" si="14"/>
        <v>0</v>
      </c>
      <c r="BL12" s="33">
        <f t="shared" si="14"/>
        <v>0</v>
      </c>
      <c r="BM12" s="34">
        <f t="shared" si="14"/>
        <v>0</v>
      </c>
      <c r="BN12" s="58">
        <f t="shared" si="15"/>
        <v>2522370.1399999997</v>
      </c>
      <c r="BO12" s="59">
        <f t="shared" si="15"/>
        <v>3100968.8600000003</v>
      </c>
      <c r="BP12" s="203">
        <f t="shared" si="15"/>
        <v>2748196.16</v>
      </c>
      <c r="BQ12" s="214">
        <f>Q12+BO12-BN12</f>
        <v>1952360.3800000008</v>
      </c>
      <c r="BR12" s="141">
        <f>L12-BO12</f>
        <v>-20968.860000000335</v>
      </c>
      <c r="BS12" s="489"/>
      <c r="BT12" s="135">
        <f t="shared" si="11"/>
        <v>840790.0466666665</v>
      </c>
    </row>
    <row r="13" spans="1:72" s="1" customFormat="1" ht="16.5" customHeight="1" thickBot="1">
      <c r="A13" s="26"/>
      <c r="B13" s="375" t="s">
        <v>90</v>
      </c>
      <c r="C13" s="154"/>
      <c r="D13" s="297">
        <v>6999160</v>
      </c>
      <c r="E13" s="58">
        <v>5873286.7299999995</v>
      </c>
      <c r="F13" s="59">
        <v>6977684.58</v>
      </c>
      <c r="G13" s="203">
        <v>5473652.66</v>
      </c>
      <c r="H13" s="350"/>
      <c r="I13" s="327">
        <v>800000</v>
      </c>
      <c r="J13" s="340">
        <v>1100000</v>
      </c>
      <c r="K13" s="467">
        <f>254000+215000</f>
        <v>469000</v>
      </c>
      <c r="L13" s="297">
        <f>SUM(I13:K13)</f>
        <v>2369000</v>
      </c>
      <c r="M13" s="504">
        <v>566670</v>
      </c>
      <c r="N13" s="297">
        <f>L13+M13</f>
        <v>2935670</v>
      </c>
      <c r="O13" s="525">
        <v>1500000</v>
      </c>
      <c r="P13" s="525">
        <f>N13+O13</f>
        <v>4435670</v>
      </c>
      <c r="Q13" s="513">
        <v>1867977.45</v>
      </c>
      <c r="R13" s="415">
        <v>379257.99</v>
      </c>
      <c r="S13" s="416">
        <v>218260.69</v>
      </c>
      <c r="T13" s="417">
        <v>270669.37</v>
      </c>
      <c r="U13" s="418">
        <v>409325.67</v>
      </c>
      <c r="V13" s="416">
        <v>432097.98</v>
      </c>
      <c r="W13" s="417">
        <v>1151694.47</v>
      </c>
      <c r="X13" s="32">
        <v>483289.99</v>
      </c>
      <c r="Y13" s="33">
        <v>63553.3</v>
      </c>
      <c r="Z13" s="35">
        <f>1215977.02+9.69</f>
        <v>1215986.71</v>
      </c>
      <c r="AA13" s="58">
        <f>R13+U13+X13</f>
        <v>1271873.65</v>
      </c>
      <c r="AB13" s="59">
        <f>S13+V13+Y13</f>
        <v>713911.97</v>
      </c>
      <c r="AC13" s="25">
        <f>T13+W13+Z13</f>
        <v>2638350.55</v>
      </c>
      <c r="AD13" s="32"/>
      <c r="AE13" s="34"/>
      <c r="AF13" s="15"/>
      <c r="AG13" s="32"/>
      <c r="AH13" s="34"/>
      <c r="AI13" s="35"/>
      <c r="AJ13" s="32"/>
      <c r="AK13" s="34"/>
      <c r="AL13" s="75"/>
      <c r="AM13" s="58">
        <f>AD13+AG13+AJ13</f>
        <v>0</v>
      </c>
      <c r="AN13" s="59">
        <f>AE13+AH13+AK13</f>
        <v>0</v>
      </c>
      <c r="AO13" s="88">
        <f>AF13+AI13+AL13</f>
        <v>0</v>
      </c>
      <c r="AP13" s="32"/>
      <c r="AQ13" s="34"/>
      <c r="AR13" s="15"/>
      <c r="AS13" s="32"/>
      <c r="AT13" s="34"/>
      <c r="AU13" s="15"/>
      <c r="AV13" s="32"/>
      <c r="AW13" s="35"/>
      <c r="AX13" s="127"/>
      <c r="AY13" s="32">
        <f>AP13+AS13+AV13</f>
        <v>0</v>
      </c>
      <c r="AZ13" s="33">
        <f>AQ13+AT13+AW13</f>
        <v>0</v>
      </c>
      <c r="BA13" s="34">
        <f>AR13+AU13+AX13</f>
        <v>0</v>
      </c>
      <c r="BB13" s="33"/>
      <c r="BC13" s="34"/>
      <c r="BD13" s="75"/>
      <c r="BE13" s="32"/>
      <c r="BF13" s="34"/>
      <c r="BG13" s="15"/>
      <c r="BH13" s="121"/>
      <c r="BI13" s="34"/>
      <c r="BJ13" s="75"/>
      <c r="BK13" s="32">
        <f t="shared" si="14"/>
        <v>0</v>
      </c>
      <c r="BL13" s="33">
        <f t="shared" si="14"/>
        <v>0</v>
      </c>
      <c r="BM13" s="34">
        <f t="shared" si="14"/>
        <v>0</v>
      </c>
      <c r="BN13" s="58">
        <f t="shared" si="15"/>
        <v>1271873.65</v>
      </c>
      <c r="BO13" s="59">
        <f t="shared" si="15"/>
        <v>713911.97</v>
      </c>
      <c r="BP13" s="203">
        <f t="shared" si="15"/>
        <v>2638350.55</v>
      </c>
      <c r="BQ13" s="214">
        <f>Q13+BO13-BN13</f>
        <v>1310015.77</v>
      </c>
      <c r="BR13" s="141">
        <f>L13-BO13</f>
        <v>1655088.03</v>
      </c>
      <c r="BS13" s="490"/>
      <c r="BT13" s="225">
        <f t="shared" si="11"/>
        <v>423957.8833333333</v>
      </c>
    </row>
    <row r="14" spans="1:72" s="1" customFormat="1" ht="16.5" customHeight="1" thickBot="1">
      <c r="A14" s="546" t="s">
        <v>107</v>
      </c>
      <c r="B14" s="547"/>
      <c r="C14" s="91"/>
      <c r="D14" s="317">
        <v>19840660</v>
      </c>
      <c r="E14" s="322">
        <v>17380125.97</v>
      </c>
      <c r="F14" s="322">
        <v>15641942.549999999</v>
      </c>
      <c r="G14" s="322">
        <v>12817396.370000001</v>
      </c>
      <c r="H14" s="312">
        <v>-163786.98</v>
      </c>
      <c r="I14" s="328">
        <f aca="true" t="shared" si="16" ref="I14:N14">I10+I11+I12+I13</f>
        <v>1659000</v>
      </c>
      <c r="J14" s="232">
        <f t="shared" si="16"/>
        <v>2685000</v>
      </c>
      <c r="K14" s="232">
        <f t="shared" si="16"/>
        <v>1669000</v>
      </c>
      <c r="L14" s="477">
        <f t="shared" si="16"/>
        <v>6013000</v>
      </c>
      <c r="M14" s="477">
        <f t="shared" si="16"/>
        <v>2670000</v>
      </c>
      <c r="N14" s="477">
        <f t="shared" si="16"/>
        <v>8683000</v>
      </c>
      <c r="O14" s="477">
        <f>O10+O11+O12+O13</f>
        <v>7798460</v>
      </c>
      <c r="P14" s="477">
        <f>P10+P11+P12+P13</f>
        <v>16481460</v>
      </c>
      <c r="Q14" s="398">
        <f aca="true" t="shared" si="17" ref="Q14:AO14">Q10+Q12+Q13</f>
        <v>3241739.11</v>
      </c>
      <c r="R14" s="421">
        <f t="shared" si="17"/>
        <v>1204237.0899999999</v>
      </c>
      <c r="S14" s="422">
        <f t="shared" si="17"/>
        <v>848810.75</v>
      </c>
      <c r="T14" s="422">
        <f t="shared" si="17"/>
        <v>1468360.23</v>
      </c>
      <c r="U14" s="422">
        <f t="shared" si="17"/>
        <v>1385576.01</v>
      </c>
      <c r="V14" s="422">
        <f t="shared" si="17"/>
        <v>1710708.81</v>
      </c>
      <c r="W14" s="422">
        <f t="shared" si="17"/>
        <v>1861722.35</v>
      </c>
      <c r="X14" s="318">
        <f t="shared" si="17"/>
        <v>1730032.77</v>
      </c>
      <c r="Y14" s="318">
        <f t="shared" si="17"/>
        <v>1255361.27</v>
      </c>
      <c r="Z14" s="318">
        <f t="shared" si="17"/>
        <v>2056464.13</v>
      </c>
      <c r="AA14" s="318">
        <f t="shared" si="17"/>
        <v>4319845.869999999</v>
      </c>
      <c r="AB14" s="318">
        <f t="shared" si="17"/>
        <v>3814880.83</v>
      </c>
      <c r="AC14" s="318">
        <f t="shared" si="17"/>
        <v>5386546.71</v>
      </c>
      <c r="AD14" s="318">
        <f t="shared" si="17"/>
        <v>0</v>
      </c>
      <c r="AE14" s="318">
        <f t="shared" si="17"/>
        <v>0</v>
      </c>
      <c r="AF14" s="318">
        <f t="shared" si="17"/>
        <v>0</v>
      </c>
      <c r="AG14" s="318">
        <f t="shared" si="17"/>
        <v>0</v>
      </c>
      <c r="AH14" s="318">
        <f t="shared" si="17"/>
        <v>0</v>
      </c>
      <c r="AI14" s="318">
        <f t="shared" si="17"/>
        <v>0</v>
      </c>
      <c r="AJ14" s="318">
        <f t="shared" si="17"/>
        <v>0</v>
      </c>
      <c r="AK14" s="318">
        <f t="shared" si="17"/>
        <v>0</v>
      </c>
      <c r="AL14" s="319">
        <f t="shared" si="17"/>
        <v>0</v>
      </c>
      <c r="AM14" s="319">
        <f t="shared" si="17"/>
        <v>0</v>
      </c>
      <c r="AN14" s="319">
        <f t="shared" si="17"/>
        <v>0</v>
      </c>
      <c r="AO14" s="319">
        <f t="shared" si="17"/>
        <v>0</v>
      </c>
      <c r="AP14" s="318">
        <f>SUM(AP10:AP13)</f>
        <v>0</v>
      </c>
      <c r="AQ14" s="318">
        <f>AQ10+AQ12+AQ13</f>
        <v>0</v>
      </c>
      <c r="AR14" s="318">
        <f>AR10+AR12+AR13</f>
        <v>0</v>
      </c>
      <c r="AS14" s="320">
        <f>AS10+AS12+AS13</f>
        <v>0</v>
      </c>
      <c r="AT14" s="320">
        <f>AT10+AT12+AT13</f>
        <v>0</v>
      </c>
      <c r="AU14" s="318">
        <f>AU10+AU12+AU13</f>
        <v>0</v>
      </c>
      <c r="AV14" s="318">
        <f>AV10+AV11+AV12+AV13</f>
        <v>0</v>
      </c>
      <c r="AW14" s="318">
        <f>AW10+AW12+AW13</f>
        <v>0</v>
      </c>
      <c r="AX14" s="321">
        <f>AX10+AX12+AX13</f>
        <v>0</v>
      </c>
      <c r="AY14" s="322">
        <f aca="true" t="shared" si="18" ref="AY14:BQ14">SUM(AY10:AY13)</f>
        <v>0</v>
      </c>
      <c r="AZ14" s="322">
        <f t="shared" si="18"/>
        <v>0</v>
      </c>
      <c r="BA14" s="322">
        <f t="shared" si="18"/>
        <v>0</v>
      </c>
      <c r="BB14" s="322">
        <f t="shared" si="18"/>
        <v>0</v>
      </c>
      <c r="BC14" s="322">
        <f t="shared" si="18"/>
        <v>0</v>
      </c>
      <c r="BD14" s="322">
        <f t="shared" si="18"/>
        <v>0</v>
      </c>
      <c r="BE14" s="322">
        <f t="shared" si="18"/>
        <v>0</v>
      </c>
      <c r="BF14" s="322">
        <f t="shared" si="18"/>
        <v>0</v>
      </c>
      <c r="BG14" s="322">
        <f t="shared" si="18"/>
        <v>0</v>
      </c>
      <c r="BH14" s="322">
        <f t="shared" si="18"/>
        <v>0</v>
      </c>
      <c r="BI14" s="322">
        <f t="shared" si="18"/>
        <v>0</v>
      </c>
      <c r="BJ14" s="322">
        <f t="shared" si="18"/>
        <v>0</v>
      </c>
      <c r="BK14" s="322">
        <f t="shared" si="18"/>
        <v>0</v>
      </c>
      <c r="BL14" s="322">
        <f t="shared" si="18"/>
        <v>0</v>
      </c>
      <c r="BM14" s="322">
        <f t="shared" si="18"/>
        <v>0</v>
      </c>
      <c r="BN14" s="322">
        <f t="shared" si="18"/>
        <v>4324257.779999999</v>
      </c>
      <c r="BO14" s="322">
        <f t="shared" si="18"/>
        <v>3814880.83</v>
      </c>
      <c r="BP14" s="322">
        <f t="shared" si="18"/>
        <v>5386546.71</v>
      </c>
      <c r="BQ14" s="322">
        <f t="shared" si="18"/>
        <v>3262376.150000001</v>
      </c>
      <c r="BR14" s="562">
        <f>BR12+BR13+BS10</f>
        <v>1662517.0899999996</v>
      </c>
      <c r="BS14" s="563"/>
      <c r="BT14" s="500">
        <f t="shared" si="11"/>
        <v>1441419.2599999998</v>
      </c>
    </row>
    <row r="15" spans="1:72" s="1" customFormat="1" ht="18" customHeight="1">
      <c r="A15" s="554" t="s">
        <v>6</v>
      </c>
      <c r="B15" s="372" t="s">
        <v>4</v>
      </c>
      <c r="C15" s="163"/>
      <c r="D15" s="296">
        <v>13500</v>
      </c>
      <c r="E15" s="58">
        <v>11867.96</v>
      </c>
      <c r="F15" s="59">
        <v>10370.01</v>
      </c>
      <c r="G15" s="203">
        <v>11947.72</v>
      </c>
      <c r="H15" s="351"/>
      <c r="I15" s="150">
        <v>2000</v>
      </c>
      <c r="J15" s="339">
        <v>2000</v>
      </c>
      <c r="K15" s="172">
        <v>0</v>
      </c>
      <c r="L15" s="297">
        <f>SUM(I15:K15)</f>
        <v>4000</v>
      </c>
      <c r="M15" s="504">
        <v>2000</v>
      </c>
      <c r="N15" s="297">
        <f>L15+M15</f>
        <v>6000</v>
      </c>
      <c r="O15" s="525">
        <v>7000</v>
      </c>
      <c r="P15" s="525">
        <f>N15+O15</f>
        <v>13000</v>
      </c>
      <c r="Q15" s="513">
        <v>8220.03</v>
      </c>
      <c r="R15" s="415">
        <v>671.1</v>
      </c>
      <c r="S15" s="416"/>
      <c r="T15" s="417"/>
      <c r="U15" s="418">
        <v>1010.47</v>
      </c>
      <c r="V15" s="416"/>
      <c r="W15" s="417">
        <v>3402.97</v>
      </c>
      <c r="X15" s="32">
        <v>566.92</v>
      </c>
      <c r="Y15" s="33">
        <v>0</v>
      </c>
      <c r="Z15" s="35">
        <v>1109.35</v>
      </c>
      <c r="AA15" s="58">
        <f aca="true" t="shared" si="19" ref="AA15:AC16">R15+U15+X15</f>
        <v>2248.4900000000002</v>
      </c>
      <c r="AB15" s="59">
        <f t="shared" si="19"/>
        <v>0</v>
      </c>
      <c r="AC15" s="25">
        <f t="shared" si="19"/>
        <v>4512.32</v>
      </c>
      <c r="AD15" s="32"/>
      <c r="AE15" s="34"/>
      <c r="AF15" s="15"/>
      <c r="AG15" s="32"/>
      <c r="AH15" s="34"/>
      <c r="AI15" s="35"/>
      <c r="AJ15" s="32"/>
      <c r="AK15" s="34"/>
      <c r="AL15" s="75"/>
      <c r="AM15" s="58">
        <f aca="true" t="shared" si="20" ref="AM15:AO16">AD15+AG15+AJ15</f>
        <v>0</v>
      </c>
      <c r="AN15" s="59">
        <f t="shared" si="20"/>
        <v>0</v>
      </c>
      <c r="AO15" s="88">
        <f t="shared" si="20"/>
        <v>0</v>
      </c>
      <c r="AP15" s="32"/>
      <c r="AQ15" s="34"/>
      <c r="AR15" s="15"/>
      <c r="AS15" s="32"/>
      <c r="AT15" s="34"/>
      <c r="AU15" s="15"/>
      <c r="AV15" s="32"/>
      <c r="AW15" s="35"/>
      <c r="AX15" s="127"/>
      <c r="AY15" s="32">
        <f aca="true" t="shared" si="21" ref="AY15:BA16">AP15+AS15+AV15</f>
        <v>0</v>
      </c>
      <c r="AZ15" s="33">
        <f t="shared" si="21"/>
        <v>0</v>
      </c>
      <c r="BA15" s="34">
        <f t="shared" si="21"/>
        <v>0</v>
      </c>
      <c r="BB15" s="33"/>
      <c r="BC15" s="34"/>
      <c r="BD15" s="75"/>
      <c r="BE15" s="32"/>
      <c r="BF15" s="34"/>
      <c r="BG15" s="15"/>
      <c r="BH15" s="121"/>
      <c r="BI15" s="34"/>
      <c r="BJ15" s="75"/>
      <c r="BK15" s="32">
        <f aca="true" t="shared" si="22" ref="BK15:BM16">BB15+BE15+BH15</f>
        <v>0</v>
      </c>
      <c r="BL15" s="33">
        <f t="shared" si="22"/>
        <v>0</v>
      </c>
      <c r="BM15" s="34">
        <f t="shared" si="22"/>
        <v>0</v>
      </c>
      <c r="BN15" s="58">
        <f aca="true" t="shared" si="23" ref="BN15:BP16">AA15+AM15+AY15+BK15</f>
        <v>2248.4900000000002</v>
      </c>
      <c r="BO15" s="59">
        <f t="shared" si="23"/>
        <v>0</v>
      </c>
      <c r="BP15" s="203">
        <f t="shared" si="23"/>
        <v>4512.32</v>
      </c>
      <c r="BQ15" s="214">
        <f>Q15+BO15-BN15</f>
        <v>5971.540000000001</v>
      </c>
      <c r="BR15" s="138">
        <f>L15-BO15</f>
        <v>4000</v>
      </c>
      <c r="BS15" s="486"/>
      <c r="BT15" s="226">
        <f t="shared" si="11"/>
        <v>749.4966666666668</v>
      </c>
    </row>
    <row r="16" spans="1:72" s="1" customFormat="1" ht="18" customHeight="1" thickBot="1">
      <c r="A16" s="558"/>
      <c r="B16" s="373" t="s">
        <v>5</v>
      </c>
      <c r="C16" s="154"/>
      <c r="D16" s="296">
        <v>37990280</v>
      </c>
      <c r="E16" s="58">
        <v>38245659.6</v>
      </c>
      <c r="F16" s="59">
        <v>0</v>
      </c>
      <c r="G16" s="203">
        <v>0</v>
      </c>
      <c r="H16" s="347"/>
      <c r="I16" s="327">
        <v>3204000</v>
      </c>
      <c r="J16" s="340">
        <v>3204000</v>
      </c>
      <c r="K16" s="467">
        <v>3037000</v>
      </c>
      <c r="L16" s="297">
        <f>SUM(I16:K16)</f>
        <v>9445000</v>
      </c>
      <c r="M16" s="504">
        <v>3148000</v>
      </c>
      <c r="N16" s="297">
        <f>L16+M16</f>
        <v>12593000</v>
      </c>
      <c r="O16" s="525">
        <v>22354250</v>
      </c>
      <c r="P16" s="525">
        <f>N16+O16</f>
        <v>34947250</v>
      </c>
      <c r="Q16" s="513"/>
      <c r="R16" s="415">
        <v>3161765.04</v>
      </c>
      <c r="S16" s="416"/>
      <c r="T16" s="417"/>
      <c r="U16" s="418">
        <v>2677918.86</v>
      </c>
      <c r="V16" s="416"/>
      <c r="W16" s="417"/>
      <c r="X16" s="32">
        <v>2988208.55</v>
      </c>
      <c r="Y16" s="33"/>
      <c r="Z16" s="35"/>
      <c r="AA16" s="58">
        <f t="shared" si="19"/>
        <v>8827892.45</v>
      </c>
      <c r="AB16" s="59">
        <f t="shared" si="19"/>
        <v>0</v>
      </c>
      <c r="AC16" s="25">
        <f t="shared" si="19"/>
        <v>0</v>
      </c>
      <c r="AD16" s="32"/>
      <c r="AE16" s="34"/>
      <c r="AF16" s="15"/>
      <c r="AG16" s="32"/>
      <c r="AH16" s="34"/>
      <c r="AI16" s="35"/>
      <c r="AJ16" s="32"/>
      <c r="AK16" s="34"/>
      <c r="AL16" s="75"/>
      <c r="AM16" s="58">
        <f t="shared" si="20"/>
        <v>0</v>
      </c>
      <c r="AN16" s="59">
        <f t="shared" si="20"/>
        <v>0</v>
      </c>
      <c r="AO16" s="88">
        <f t="shared" si="20"/>
        <v>0</v>
      </c>
      <c r="AP16" s="32"/>
      <c r="AQ16" s="34"/>
      <c r="AR16" s="15"/>
      <c r="AS16" s="32"/>
      <c r="AT16" s="34"/>
      <c r="AU16" s="15"/>
      <c r="AV16" s="32"/>
      <c r="AW16" s="35"/>
      <c r="AX16" s="127"/>
      <c r="AY16" s="32">
        <f t="shared" si="21"/>
        <v>0</v>
      </c>
      <c r="AZ16" s="33">
        <f t="shared" si="21"/>
        <v>0</v>
      </c>
      <c r="BA16" s="34">
        <f t="shared" si="21"/>
        <v>0</v>
      </c>
      <c r="BB16" s="33"/>
      <c r="BC16" s="34"/>
      <c r="BD16" s="75"/>
      <c r="BE16" s="32"/>
      <c r="BF16" s="34"/>
      <c r="BG16" s="15"/>
      <c r="BH16" s="121"/>
      <c r="BI16" s="34"/>
      <c r="BJ16" s="75"/>
      <c r="BK16" s="32">
        <f t="shared" si="22"/>
        <v>0</v>
      </c>
      <c r="BL16" s="33">
        <f t="shared" si="22"/>
        <v>0</v>
      </c>
      <c r="BM16" s="34">
        <f t="shared" si="22"/>
        <v>0</v>
      </c>
      <c r="BN16" s="58">
        <f t="shared" si="23"/>
        <v>8827892.45</v>
      </c>
      <c r="BO16" s="59">
        <f t="shared" si="23"/>
        <v>0</v>
      </c>
      <c r="BP16" s="203">
        <f t="shared" si="23"/>
        <v>0</v>
      </c>
      <c r="BQ16" s="214"/>
      <c r="BR16" s="139"/>
      <c r="BS16" s="487">
        <f>L16-BN16</f>
        <v>617107.5500000007</v>
      </c>
      <c r="BT16" s="225">
        <f t="shared" si="11"/>
        <v>2942630.8166666664</v>
      </c>
    </row>
    <row r="17" spans="1:72" s="1" customFormat="1" ht="22.5" customHeight="1" thickBot="1">
      <c r="A17" s="3" t="s">
        <v>8</v>
      </c>
      <c r="B17" s="376" t="s">
        <v>9</v>
      </c>
      <c r="C17" s="91"/>
      <c r="D17" s="173">
        <v>38466480</v>
      </c>
      <c r="E17" s="60">
        <v>38257527.56</v>
      </c>
      <c r="F17" s="60">
        <v>10370.01</v>
      </c>
      <c r="G17" s="204">
        <v>11947.72</v>
      </c>
      <c r="H17" s="314">
        <v>-210450.3900000006</v>
      </c>
      <c r="I17" s="328">
        <f aca="true" t="shared" si="24" ref="I17:N17">SUM(I15:I16)</f>
        <v>3206000</v>
      </c>
      <c r="J17" s="232">
        <f t="shared" si="24"/>
        <v>3206000</v>
      </c>
      <c r="K17" s="232">
        <f t="shared" si="24"/>
        <v>3037000</v>
      </c>
      <c r="L17" s="298">
        <f t="shared" si="24"/>
        <v>9449000</v>
      </c>
      <c r="M17" s="298">
        <f t="shared" si="24"/>
        <v>3150000</v>
      </c>
      <c r="N17" s="298">
        <f t="shared" si="24"/>
        <v>12599000</v>
      </c>
      <c r="O17" s="298">
        <f>SUM(O15:O16)</f>
        <v>22361250</v>
      </c>
      <c r="P17" s="298">
        <f>SUM(P15:P16)</f>
        <v>34960250</v>
      </c>
      <c r="Q17" s="229">
        <f aca="true" t="shared" si="25" ref="Q17:AV17">Q15+Q16</f>
        <v>8220.03</v>
      </c>
      <c r="R17" s="419">
        <f t="shared" si="25"/>
        <v>3162436.14</v>
      </c>
      <c r="S17" s="420">
        <f t="shared" si="25"/>
        <v>0</v>
      </c>
      <c r="T17" s="420">
        <f t="shared" si="25"/>
        <v>0</v>
      </c>
      <c r="U17" s="420">
        <f t="shared" si="25"/>
        <v>2678929.33</v>
      </c>
      <c r="V17" s="420">
        <f t="shared" si="25"/>
        <v>0</v>
      </c>
      <c r="W17" s="420">
        <f t="shared" si="25"/>
        <v>3402.97</v>
      </c>
      <c r="X17" s="60">
        <f t="shared" si="25"/>
        <v>2988775.4699999997</v>
      </c>
      <c r="Y17" s="60">
        <f t="shared" si="25"/>
        <v>0</v>
      </c>
      <c r="Z17" s="60">
        <f t="shared" si="25"/>
        <v>1109.35</v>
      </c>
      <c r="AA17" s="60">
        <f t="shared" si="25"/>
        <v>8830140.94</v>
      </c>
      <c r="AB17" s="60">
        <f t="shared" si="25"/>
        <v>0</v>
      </c>
      <c r="AC17" s="60">
        <f t="shared" si="25"/>
        <v>4512.32</v>
      </c>
      <c r="AD17" s="60">
        <f t="shared" si="25"/>
        <v>0</v>
      </c>
      <c r="AE17" s="60">
        <f t="shared" si="25"/>
        <v>0</v>
      </c>
      <c r="AF17" s="60">
        <f t="shared" si="25"/>
        <v>0</v>
      </c>
      <c r="AG17" s="60">
        <f t="shared" si="25"/>
        <v>0</v>
      </c>
      <c r="AH17" s="60">
        <f t="shared" si="25"/>
        <v>0</v>
      </c>
      <c r="AI17" s="60">
        <f t="shared" si="25"/>
        <v>0</v>
      </c>
      <c r="AJ17" s="60">
        <f t="shared" si="25"/>
        <v>0</v>
      </c>
      <c r="AK17" s="60">
        <f t="shared" si="25"/>
        <v>0</v>
      </c>
      <c r="AL17" s="62">
        <f t="shared" si="25"/>
        <v>0</v>
      </c>
      <c r="AM17" s="62">
        <f t="shared" si="25"/>
        <v>0</v>
      </c>
      <c r="AN17" s="62">
        <f t="shared" si="25"/>
        <v>0</v>
      </c>
      <c r="AO17" s="62">
        <f t="shared" si="25"/>
        <v>0</v>
      </c>
      <c r="AP17" s="60">
        <f t="shared" si="25"/>
        <v>0</v>
      </c>
      <c r="AQ17" s="60">
        <f t="shared" si="25"/>
        <v>0</v>
      </c>
      <c r="AR17" s="60">
        <f t="shared" si="25"/>
        <v>0</v>
      </c>
      <c r="AS17" s="60">
        <f t="shared" si="25"/>
        <v>0</v>
      </c>
      <c r="AT17" s="60">
        <f t="shared" si="25"/>
        <v>0</v>
      </c>
      <c r="AU17" s="60">
        <f t="shared" si="25"/>
        <v>0</v>
      </c>
      <c r="AV17" s="60">
        <f t="shared" si="25"/>
        <v>0</v>
      </c>
      <c r="AW17" s="60">
        <f aca="true" t="shared" si="26" ref="AW17:BQ17">AW15+AW16</f>
        <v>0</v>
      </c>
      <c r="AX17" s="229">
        <f t="shared" si="26"/>
        <v>0</v>
      </c>
      <c r="AY17" s="60">
        <f t="shared" si="26"/>
        <v>0</v>
      </c>
      <c r="AZ17" s="60">
        <f t="shared" si="26"/>
        <v>0</v>
      </c>
      <c r="BA17" s="60">
        <f t="shared" si="26"/>
        <v>0</v>
      </c>
      <c r="BB17" s="60">
        <f t="shared" si="26"/>
        <v>0</v>
      </c>
      <c r="BC17" s="60">
        <f t="shared" si="26"/>
        <v>0</v>
      </c>
      <c r="BD17" s="60">
        <f t="shared" si="26"/>
        <v>0</v>
      </c>
      <c r="BE17" s="60">
        <f t="shared" si="26"/>
        <v>0</v>
      </c>
      <c r="BF17" s="60">
        <f t="shared" si="26"/>
        <v>0</v>
      </c>
      <c r="BG17" s="60">
        <f t="shared" si="26"/>
        <v>0</v>
      </c>
      <c r="BH17" s="60">
        <f t="shared" si="26"/>
        <v>0</v>
      </c>
      <c r="BI17" s="60">
        <f t="shared" si="26"/>
        <v>0</v>
      </c>
      <c r="BJ17" s="60">
        <f t="shared" si="26"/>
        <v>0</v>
      </c>
      <c r="BK17" s="60">
        <f t="shared" si="26"/>
        <v>0</v>
      </c>
      <c r="BL17" s="60">
        <f t="shared" si="26"/>
        <v>0</v>
      </c>
      <c r="BM17" s="60">
        <f t="shared" si="26"/>
        <v>0</v>
      </c>
      <c r="BN17" s="60">
        <f t="shared" si="26"/>
        <v>8830140.94</v>
      </c>
      <c r="BO17" s="60">
        <f t="shared" si="26"/>
        <v>0</v>
      </c>
      <c r="BP17" s="204">
        <f t="shared" si="26"/>
        <v>4512.32</v>
      </c>
      <c r="BQ17" s="204">
        <f t="shared" si="26"/>
        <v>5971.540000000001</v>
      </c>
      <c r="BR17" s="560">
        <f>BR15+BS16</f>
        <v>621107.5500000007</v>
      </c>
      <c r="BS17" s="561"/>
      <c r="BT17" s="500">
        <f t="shared" si="11"/>
        <v>2943380.313333333</v>
      </c>
    </row>
    <row r="18" spans="1:72" s="1" customFormat="1" ht="16.5" customHeight="1" hidden="1" thickBot="1">
      <c r="A18" s="555" t="s">
        <v>6</v>
      </c>
      <c r="B18" s="372" t="s">
        <v>21</v>
      </c>
      <c r="C18" s="163"/>
      <c r="D18" s="172">
        <v>0</v>
      </c>
      <c r="E18" s="58">
        <v>0</v>
      </c>
      <c r="F18" s="59">
        <v>0</v>
      </c>
      <c r="G18" s="203">
        <v>0</v>
      </c>
      <c r="H18" s="352"/>
      <c r="I18" s="150"/>
      <c r="J18" s="339"/>
      <c r="K18" s="172"/>
      <c r="L18" s="297">
        <f>I18+J18</f>
        <v>0</v>
      </c>
      <c r="M18" s="504"/>
      <c r="N18" s="297">
        <f>L18+M18</f>
        <v>0</v>
      </c>
      <c r="O18" s="525"/>
      <c r="P18" s="525"/>
      <c r="Q18" s="513"/>
      <c r="R18" s="415"/>
      <c r="S18" s="416"/>
      <c r="T18" s="417"/>
      <c r="U18" s="418"/>
      <c r="V18" s="416"/>
      <c r="W18" s="417"/>
      <c r="X18" s="32"/>
      <c r="Y18" s="33"/>
      <c r="Z18" s="35"/>
      <c r="AA18" s="58">
        <f aca="true" t="shared" si="27" ref="AA18:AC20">R18+U18+X18</f>
        <v>0</v>
      </c>
      <c r="AB18" s="59">
        <f t="shared" si="27"/>
        <v>0</v>
      </c>
      <c r="AC18" s="25">
        <f t="shared" si="27"/>
        <v>0</v>
      </c>
      <c r="AD18" s="32">
        <v>0</v>
      </c>
      <c r="AE18" s="34">
        <v>0</v>
      </c>
      <c r="AF18" s="15">
        <v>0</v>
      </c>
      <c r="AG18" s="32"/>
      <c r="AH18" s="34"/>
      <c r="AI18" s="35"/>
      <c r="AJ18" s="32"/>
      <c r="AK18" s="34"/>
      <c r="AL18" s="75"/>
      <c r="AM18" s="58">
        <f aca="true" t="shared" si="28" ref="AM18:AO20">AD18+AG18+AJ18</f>
        <v>0</v>
      </c>
      <c r="AN18" s="59">
        <f t="shared" si="28"/>
        <v>0</v>
      </c>
      <c r="AO18" s="88">
        <f t="shared" si="28"/>
        <v>0</v>
      </c>
      <c r="AP18" s="32"/>
      <c r="AQ18" s="34"/>
      <c r="AR18" s="15"/>
      <c r="AS18" s="32"/>
      <c r="AT18" s="34"/>
      <c r="AU18" s="15"/>
      <c r="AV18" s="32"/>
      <c r="AW18" s="35"/>
      <c r="AX18" s="127"/>
      <c r="AY18" s="32">
        <f aca="true" t="shared" si="29" ref="AY18:BA20">AP18+AS18+AV18</f>
        <v>0</v>
      </c>
      <c r="AZ18" s="33">
        <f t="shared" si="29"/>
        <v>0</v>
      </c>
      <c r="BA18" s="34">
        <f t="shared" si="29"/>
        <v>0</v>
      </c>
      <c r="BB18" s="33"/>
      <c r="BC18" s="34"/>
      <c r="BD18" s="75"/>
      <c r="BE18" s="32"/>
      <c r="BF18" s="34"/>
      <c r="BG18" s="15"/>
      <c r="BH18" s="121"/>
      <c r="BI18" s="34"/>
      <c r="BJ18" s="75"/>
      <c r="BK18" s="32">
        <f aca="true" t="shared" si="30" ref="BK18:BM20">BB18+BE18+BH18</f>
        <v>0</v>
      </c>
      <c r="BL18" s="33">
        <f t="shared" si="30"/>
        <v>0</v>
      </c>
      <c r="BM18" s="34">
        <f t="shared" si="30"/>
        <v>0</v>
      </c>
      <c r="BN18" s="58">
        <f aca="true" t="shared" si="31" ref="BN18:BP20">AA18+AM18+AY18+BK18</f>
        <v>0</v>
      </c>
      <c r="BO18" s="59">
        <f t="shared" si="31"/>
        <v>0</v>
      </c>
      <c r="BP18" s="203">
        <f t="shared" si="31"/>
        <v>0</v>
      </c>
      <c r="BQ18" s="214"/>
      <c r="BR18" s="143"/>
      <c r="BS18" s="491"/>
      <c r="BT18" s="226">
        <f>BN18/2</f>
        <v>0</v>
      </c>
    </row>
    <row r="19" spans="1:72" s="1" customFormat="1" ht="19.5" customHeight="1" thickBot="1">
      <c r="A19" s="555"/>
      <c r="B19" s="372" t="s">
        <v>27</v>
      </c>
      <c r="C19" s="117"/>
      <c r="D19" s="297">
        <v>57400</v>
      </c>
      <c r="E19" s="58">
        <v>57090</v>
      </c>
      <c r="F19" s="59">
        <v>0</v>
      </c>
      <c r="G19" s="203">
        <v>0</v>
      </c>
      <c r="H19" s="353">
        <v>-310</v>
      </c>
      <c r="I19" s="148">
        <v>5000</v>
      </c>
      <c r="J19" s="341">
        <v>5000</v>
      </c>
      <c r="K19" s="174">
        <v>5000</v>
      </c>
      <c r="L19" s="297">
        <f>SUM(I19:K19)</f>
        <v>15000</v>
      </c>
      <c r="M19" s="504">
        <v>5000</v>
      </c>
      <c r="N19" s="297">
        <f>L19+M19</f>
        <v>20000</v>
      </c>
      <c r="O19" s="525">
        <v>34100</v>
      </c>
      <c r="P19" s="525">
        <f>N19+O19</f>
        <v>54100</v>
      </c>
      <c r="Q19" s="513"/>
      <c r="R19" s="415">
        <v>3360</v>
      </c>
      <c r="S19" s="416"/>
      <c r="T19" s="417"/>
      <c r="U19" s="418">
        <v>4920</v>
      </c>
      <c r="V19" s="416"/>
      <c r="W19" s="417"/>
      <c r="X19" s="32">
        <v>4080</v>
      </c>
      <c r="Y19" s="33"/>
      <c r="Z19" s="35"/>
      <c r="AA19" s="58">
        <f t="shared" si="27"/>
        <v>12360</v>
      </c>
      <c r="AB19" s="59">
        <f t="shared" si="27"/>
        <v>0</v>
      </c>
      <c r="AC19" s="25">
        <f t="shared" si="27"/>
        <v>0</v>
      </c>
      <c r="AD19" s="32"/>
      <c r="AE19" s="34"/>
      <c r="AF19" s="15"/>
      <c r="AG19" s="32"/>
      <c r="AH19" s="34"/>
      <c r="AI19" s="35"/>
      <c r="AJ19" s="32"/>
      <c r="AK19" s="34"/>
      <c r="AL19" s="75"/>
      <c r="AM19" s="58">
        <f t="shared" si="28"/>
        <v>0</v>
      </c>
      <c r="AN19" s="59">
        <f t="shared" si="28"/>
        <v>0</v>
      </c>
      <c r="AO19" s="88">
        <f t="shared" si="28"/>
        <v>0</v>
      </c>
      <c r="AP19" s="32"/>
      <c r="AQ19" s="34"/>
      <c r="AR19" s="15"/>
      <c r="AS19" s="32"/>
      <c r="AT19" s="34"/>
      <c r="AU19" s="15"/>
      <c r="AV19" s="32"/>
      <c r="AW19" s="35"/>
      <c r="AX19" s="127"/>
      <c r="AY19" s="32">
        <f t="shared" si="29"/>
        <v>0</v>
      </c>
      <c r="AZ19" s="33">
        <f t="shared" si="29"/>
        <v>0</v>
      </c>
      <c r="BA19" s="34">
        <f t="shared" si="29"/>
        <v>0</v>
      </c>
      <c r="BB19" s="33"/>
      <c r="BC19" s="34"/>
      <c r="BD19" s="75"/>
      <c r="BE19" s="32"/>
      <c r="BF19" s="34"/>
      <c r="BG19" s="15"/>
      <c r="BH19" s="121"/>
      <c r="BI19" s="34"/>
      <c r="BJ19" s="75"/>
      <c r="BK19" s="32">
        <f t="shared" si="30"/>
        <v>0</v>
      </c>
      <c r="BL19" s="33">
        <f t="shared" si="30"/>
        <v>0</v>
      </c>
      <c r="BM19" s="34">
        <f t="shared" si="30"/>
        <v>0</v>
      </c>
      <c r="BN19" s="58">
        <f t="shared" si="31"/>
        <v>12360</v>
      </c>
      <c r="BO19" s="59">
        <f t="shared" si="31"/>
        <v>0</v>
      </c>
      <c r="BP19" s="203">
        <f t="shared" si="31"/>
        <v>0</v>
      </c>
      <c r="BQ19" s="214"/>
      <c r="BR19" s="187"/>
      <c r="BS19" s="492">
        <f>L19-BN19</f>
        <v>2640</v>
      </c>
      <c r="BT19" s="135">
        <f>BN19/3</f>
        <v>4120</v>
      </c>
    </row>
    <row r="20" spans="1:72" s="1" customFormat="1" ht="20.25" customHeight="1" thickBot="1">
      <c r="A20" s="555"/>
      <c r="B20" s="373" t="s">
        <v>28</v>
      </c>
      <c r="C20" s="154"/>
      <c r="D20" s="297">
        <v>1720660</v>
      </c>
      <c r="E20" s="58">
        <v>1710110</v>
      </c>
      <c r="F20" s="59">
        <v>0</v>
      </c>
      <c r="G20" s="203">
        <v>0</v>
      </c>
      <c r="H20" s="315">
        <v>-10550</v>
      </c>
      <c r="I20" s="148">
        <v>143000</v>
      </c>
      <c r="J20" s="341">
        <v>143000</v>
      </c>
      <c r="K20" s="174">
        <v>142000</v>
      </c>
      <c r="L20" s="297">
        <f>SUM(I20:K20)</f>
        <v>428000</v>
      </c>
      <c r="M20" s="504">
        <v>143000</v>
      </c>
      <c r="N20" s="297">
        <f>L20+M20</f>
        <v>571000</v>
      </c>
      <c r="O20" s="525">
        <v>1075000</v>
      </c>
      <c r="P20" s="525">
        <f>N20+O20</f>
        <v>1646000</v>
      </c>
      <c r="Q20" s="513"/>
      <c r="R20" s="415">
        <v>126840</v>
      </c>
      <c r="S20" s="416"/>
      <c r="T20" s="417"/>
      <c r="U20" s="418">
        <v>133560</v>
      </c>
      <c r="V20" s="416"/>
      <c r="W20" s="417"/>
      <c r="X20" s="32">
        <v>138744.87</v>
      </c>
      <c r="Y20" s="33"/>
      <c r="Z20" s="35"/>
      <c r="AA20" s="58">
        <f t="shared" si="27"/>
        <v>399144.87</v>
      </c>
      <c r="AB20" s="59">
        <f t="shared" si="27"/>
        <v>0</v>
      </c>
      <c r="AC20" s="25">
        <f t="shared" si="27"/>
        <v>0</v>
      </c>
      <c r="AD20" s="32"/>
      <c r="AE20" s="34"/>
      <c r="AF20" s="15"/>
      <c r="AG20" s="32"/>
      <c r="AH20" s="34"/>
      <c r="AI20" s="35"/>
      <c r="AJ20" s="32"/>
      <c r="AK20" s="34"/>
      <c r="AL20" s="75"/>
      <c r="AM20" s="58">
        <f t="shared" si="28"/>
        <v>0</v>
      </c>
      <c r="AN20" s="59">
        <f t="shared" si="28"/>
        <v>0</v>
      </c>
      <c r="AO20" s="88">
        <f t="shared" si="28"/>
        <v>0</v>
      </c>
      <c r="AP20" s="32"/>
      <c r="AQ20" s="34"/>
      <c r="AR20" s="15"/>
      <c r="AS20" s="32"/>
      <c r="AT20" s="34"/>
      <c r="AU20" s="15"/>
      <c r="AV20" s="32"/>
      <c r="AW20" s="35"/>
      <c r="AX20" s="127"/>
      <c r="AY20" s="32">
        <f t="shared" si="29"/>
        <v>0</v>
      </c>
      <c r="AZ20" s="33">
        <f t="shared" si="29"/>
        <v>0</v>
      </c>
      <c r="BA20" s="34">
        <f t="shared" si="29"/>
        <v>0</v>
      </c>
      <c r="BB20" s="33"/>
      <c r="BC20" s="34"/>
      <c r="BD20" s="75"/>
      <c r="BE20" s="32"/>
      <c r="BF20" s="34"/>
      <c r="BG20" s="15"/>
      <c r="BH20" s="121"/>
      <c r="BI20" s="34"/>
      <c r="BJ20" s="75"/>
      <c r="BK20" s="32">
        <f t="shared" si="30"/>
        <v>0</v>
      </c>
      <c r="BL20" s="33">
        <f t="shared" si="30"/>
        <v>0</v>
      </c>
      <c r="BM20" s="34">
        <f t="shared" si="30"/>
        <v>0</v>
      </c>
      <c r="BN20" s="58">
        <f t="shared" si="31"/>
        <v>399144.87</v>
      </c>
      <c r="BO20" s="59">
        <f t="shared" si="31"/>
        <v>0</v>
      </c>
      <c r="BP20" s="203">
        <f t="shared" si="31"/>
        <v>0</v>
      </c>
      <c r="BQ20" s="214"/>
      <c r="BR20" s="188"/>
      <c r="BS20" s="493">
        <f>L20-BN20</f>
        <v>28855.130000000005</v>
      </c>
      <c r="BT20" s="225">
        <f>BN20/3</f>
        <v>133048.29</v>
      </c>
    </row>
    <row r="21" spans="1:72" s="6" customFormat="1" ht="25.5" customHeight="1" thickBot="1">
      <c r="A21" s="3" t="s">
        <v>8</v>
      </c>
      <c r="B21" s="376" t="s">
        <v>11</v>
      </c>
      <c r="C21" s="365"/>
      <c r="D21" s="173">
        <v>1778060</v>
      </c>
      <c r="E21" s="60">
        <v>1767200</v>
      </c>
      <c r="F21" s="60">
        <v>0</v>
      </c>
      <c r="G21" s="204">
        <v>0</v>
      </c>
      <c r="H21" s="354">
        <v>-10860</v>
      </c>
      <c r="I21" s="329">
        <f aca="true" t="shared" si="32" ref="I21:N21">I19+I20</f>
        <v>148000</v>
      </c>
      <c r="J21" s="329">
        <f t="shared" si="32"/>
        <v>148000</v>
      </c>
      <c r="K21" s="329">
        <f t="shared" si="32"/>
        <v>147000</v>
      </c>
      <c r="L21" s="298">
        <f t="shared" si="32"/>
        <v>443000</v>
      </c>
      <c r="M21" s="298">
        <f t="shared" si="32"/>
        <v>148000</v>
      </c>
      <c r="N21" s="298">
        <f t="shared" si="32"/>
        <v>591000</v>
      </c>
      <c r="O21" s="298">
        <f>O19+O20</f>
        <v>1109100</v>
      </c>
      <c r="P21" s="298">
        <f>P19+P20</f>
        <v>1700100</v>
      </c>
      <c r="Q21" s="228"/>
      <c r="R21" s="419">
        <f aca="true" t="shared" si="33" ref="R21:AW21">R18+R19+R20</f>
        <v>130200</v>
      </c>
      <c r="S21" s="420">
        <f t="shared" si="33"/>
        <v>0</v>
      </c>
      <c r="T21" s="420">
        <f t="shared" si="33"/>
        <v>0</v>
      </c>
      <c r="U21" s="420">
        <f t="shared" si="33"/>
        <v>138480</v>
      </c>
      <c r="V21" s="420">
        <f t="shared" si="33"/>
        <v>0</v>
      </c>
      <c r="W21" s="420">
        <f t="shared" si="33"/>
        <v>0</v>
      </c>
      <c r="X21" s="60">
        <f t="shared" si="33"/>
        <v>142824.87</v>
      </c>
      <c r="Y21" s="60">
        <f t="shared" si="33"/>
        <v>0</v>
      </c>
      <c r="Z21" s="60">
        <f t="shared" si="33"/>
        <v>0</v>
      </c>
      <c r="AA21" s="60">
        <f t="shared" si="33"/>
        <v>411504.87</v>
      </c>
      <c r="AB21" s="60">
        <f t="shared" si="33"/>
        <v>0</v>
      </c>
      <c r="AC21" s="60">
        <f t="shared" si="33"/>
        <v>0</v>
      </c>
      <c r="AD21" s="60">
        <f t="shared" si="33"/>
        <v>0</v>
      </c>
      <c r="AE21" s="60">
        <f t="shared" si="33"/>
        <v>0</v>
      </c>
      <c r="AF21" s="60">
        <f t="shared" si="33"/>
        <v>0</v>
      </c>
      <c r="AG21" s="60">
        <f t="shared" si="33"/>
        <v>0</v>
      </c>
      <c r="AH21" s="60">
        <f t="shared" si="33"/>
        <v>0</v>
      </c>
      <c r="AI21" s="60">
        <f t="shared" si="33"/>
        <v>0</v>
      </c>
      <c r="AJ21" s="60">
        <f t="shared" si="33"/>
        <v>0</v>
      </c>
      <c r="AK21" s="60">
        <f t="shared" si="33"/>
        <v>0</v>
      </c>
      <c r="AL21" s="62">
        <f t="shared" si="33"/>
        <v>0</v>
      </c>
      <c r="AM21" s="62">
        <f t="shared" si="33"/>
        <v>0</v>
      </c>
      <c r="AN21" s="62">
        <f t="shared" si="33"/>
        <v>0</v>
      </c>
      <c r="AO21" s="62">
        <f t="shared" si="33"/>
        <v>0</v>
      </c>
      <c r="AP21" s="62">
        <f t="shared" si="33"/>
        <v>0</v>
      </c>
      <c r="AQ21" s="62">
        <f t="shared" si="33"/>
        <v>0</v>
      </c>
      <c r="AR21" s="60">
        <f t="shared" si="33"/>
        <v>0</v>
      </c>
      <c r="AS21" s="62">
        <f t="shared" si="33"/>
        <v>0</v>
      </c>
      <c r="AT21" s="62">
        <f t="shared" si="33"/>
        <v>0</v>
      </c>
      <c r="AU21" s="60">
        <f t="shared" si="33"/>
        <v>0</v>
      </c>
      <c r="AV21" s="62">
        <f t="shared" si="33"/>
        <v>0</v>
      </c>
      <c r="AW21" s="60">
        <f t="shared" si="33"/>
        <v>0</v>
      </c>
      <c r="AX21" s="91">
        <f aca="true" t="shared" si="34" ref="AX21:BQ21">AX18+AX19+AX20</f>
        <v>0</v>
      </c>
      <c r="AY21" s="62">
        <f t="shared" si="34"/>
        <v>0</v>
      </c>
      <c r="AZ21" s="62">
        <f t="shared" si="34"/>
        <v>0</v>
      </c>
      <c r="BA21" s="62">
        <f t="shared" si="34"/>
        <v>0</v>
      </c>
      <c r="BB21" s="62">
        <f t="shared" si="34"/>
        <v>0</v>
      </c>
      <c r="BC21" s="62">
        <f t="shared" si="34"/>
        <v>0</v>
      </c>
      <c r="BD21" s="62">
        <f t="shared" si="34"/>
        <v>0</v>
      </c>
      <c r="BE21" s="62">
        <f t="shared" si="34"/>
        <v>0</v>
      </c>
      <c r="BF21" s="62">
        <f t="shared" si="34"/>
        <v>0</v>
      </c>
      <c r="BG21" s="62">
        <f t="shared" si="34"/>
        <v>0</v>
      </c>
      <c r="BH21" s="62">
        <f t="shared" si="34"/>
        <v>0</v>
      </c>
      <c r="BI21" s="62">
        <f t="shared" si="34"/>
        <v>0</v>
      </c>
      <c r="BJ21" s="62">
        <f t="shared" si="34"/>
        <v>0</v>
      </c>
      <c r="BK21" s="62">
        <f t="shared" si="34"/>
        <v>0</v>
      </c>
      <c r="BL21" s="62">
        <f t="shared" si="34"/>
        <v>0</v>
      </c>
      <c r="BM21" s="62">
        <f t="shared" si="34"/>
        <v>0</v>
      </c>
      <c r="BN21" s="60">
        <f t="shared" si="34"/>
        <v>411504.87</v>
      </c>
      <c r="BO21" s="60">
        <f t="shared" si="34"/>
        <v>0</v>
      </c>
      <c r="BP21" s="204">
        <f t="shared" si="34"/>
        <v>0</v>
      </c>
      <c r="BQ21" s="204">
        <f t="shared" si="34"/>
        <v>0</v>
      </c>
      <c r="BR21" s="184"/>
      <c r="BS21" s="494">
        <f>BS19+BS20</f>
        <v>31495.130000000005</v>
      </c>
      <c r="BT21" s="500">
        <f>BN21/3</f>
        <v>137168.29</v>
      </c>
    </row>
    <row r="22" spans="1:72" s="1" customFormat="1" ht="21" customHeight="1" thickBot="1">
      <c r="A22" s="534" t="s">
        <v>10</v>
      </c>
      <c r="B22" s="535"/>
      <c r="C22" s="164"/>
      <c r="D22" s="175">
        <v>40244540</v>
      </c>
      <c r="E22" s="58">
        <v>0</v>
      </c>
      <c r="F22" s="59">
        <v>0</v>
      </c>
      <c r="G22" s="203">
        <v>0</v>
      </c>
      <c r="H22" s="352"/>
      <c r="I22" s="148"/>
      <c r="J22" s="341"/>
      <c r="K22" s="174"/>
      <c r="L22" s="297">
        <f>I22+J22</f>
        <v>0</v>
      </c>
      <c r="M22" s="506"/>
      <c r="N22" s="297">
        <f>L22+M22</f>
        <v>0</v>
      </c>
      <c r="O22" s="388"/>
      <c r="P22" s="524"/>
      <c r="Q22" s="514"/>
      <c r="R22" s="423"/>
      <c r="S22" s="424"/>
      <c r="T22" s="425"/>
      <c r="U22" s="426"/>
      <c r="V22" s="424"/>
      <c r="W22" s="425"/>
      <c r="X22" s="49"/>
      <c r="Y22" s="48"/>
      <c r="Z22" s="47"/>
      <c r="AA22" s="58">
        <f aca="true" t="shared" si="35" ref="AA22:AC24">R22+U22+X22</f>
        <v>0</v>
      </c>
      <c r="AB22" s="59">
        <f t="shared" si="35"/>
        <v>0</v>
      </c>
      <c r="AC22" s="25">
        <f t="shared" si="35"/>
        <v>0</v>
      </c>
      <c r="AD22" s="49">
        <v>0</v>
      </c>
      <c r="AE22" s="53">
        <v>0</v>
      </c>
      <c r="AF22" s="19">
        <v>0</v>
      </c>
      <c r="AG22" s="49"/>
      <c r="AH22" s="53"/>
      <c r="AI22" s="47"/>
      <c r="AJ22" s="49"/>
      <c r="AK22" s="53"/>
      <c r="AL22" s="76"/>
      <c r="AM22" s="58">
        <f aca="true" t="shared" si="36" ref="AM22:AO24">AD22+AG22+AJ22</f>
        <v>0</v>
      </c>
      <c r="AN22" s="59">
        <f t="shared" si="36"/>
        <v>0</v>
      </c>
      <c r="AO22" s="88">
        <f t="shared" si="36"/>
        <v>0</v>
      </c>
      <c r="AP22" s="49"/>
      <c r="AQ22" s="53"/>
      <c r="AR22" s="19"/>
      <c r="AS22" s="49"/>
      <c r="AT22" s="53"/>
      <c r="AU22" s="19"/>
      <c r="AV22" s="49"/>
      <c r="AW22" s="47"/>
      <c r="AX22" s="231"/>
      <c r="AY22" s="32">
        <f aca="true" t="shared" si="37" ref="AY22:BA24">AP22+AS22+AV22</f>
        <v>0</v>
      </c>
      <c r="AZ22" s="33">
        <f t="shared" si="37"/>
        <v>0</v>
      </c>
      <c r="BA22" s="34">
        <f t="shared" si="37"/>
        <v>0</v>
      </c>
      <c r="BB22" s="48"/>
      <c r="BC22" s="53"/>
      <c r="BD22" s="76"/>
      <c r="BE22" s="49"/>
      <c r="BF22" s="53"/>
      <c r="BG22" s="19"/>
      <c r="BH22" s="122"/>
      <c r="BI22" s="53"/>
      <c r="BJ22" s="76"/>
      <c r="BK22" s="32">
        <f aca="true" t="shared" si="38" ref="BK22:BM24">BB22+BE22+BH22</f>
        <v>0</v>
      </c>
      <c r="BL22" s="33">
        <f t="shared" si="38"/>
        <v>0</v>
      </c>
      <c r="BM22" s="34">
        <f t="shared" si="38"/>
        <v>0</v>
      </c>
      <c r="BN22" s="58">
        <f aca="true" t="shared" si="39" ref="BN22:BP24">AA22+AM22+AY22+BK22</f>
        <v>0</v>
      </c>
      <c r="BO22" s="59">
        <f t="shared" si="39"/>
        <v>0</v>
      </c>
      <c r="BP22" s="203">
        <f t="shared" si="39"/>
        <v>0</v>
      </c>
      <c r="BQ22" s="215"/>
      <c r="BR22" s="143"/>
      <c r="BS22" s="491"/>
      <c r="BT22" s="226">
        <f>BN22/2</f>
        <v>0</v>
      </c>
    </row>
    <row r="23" spans="1:72" s="1" customFormat="1" ht="18" customHeight="1" thickBot="1">
      <c r="A23" s="554" t="s">
        <v>32</v>
      </c>
      <c r="B23" s="372" t="s">
        <v>12</v>
      </c>
      <c r="C23" s="163"/>
      <c r="D23" s="296">
        <v>31110</v>
      </c>
      <c r="E23" s="58">
        <v>23961.43</v>
      </c>
      <c r="F23" s="59">
        <v>25486.89</v>
      </c>
      <c r="G23" s="203">
        <v>21678.13</v>
      </c>
      <c r="H23" s="43">
        <v>-5623.11</v>
      </c>
      <c r="I23" s="148">
        <v>0</v>
      </c>
      <c r="J23" s="341">
        <v>3000</v>
      </c>
      <c r="K23" s="174">
        <v>3000</v>
      </c>
      <c r="L23" s="297">
        <f>SUM(I23:K23)</f>
        <v>6000</v>
      </c>
      <c r="M23" s="297">
        <v>0</v>
      </c>
      <c r="N23" s="297">
        <f>L23+M23</f>
        <v>6000</v>
      </c>
      <c r="O23" s="528">
        <v>1590</v>
      </c>
      <c r="P23" s="528">
        <f>N23+O23</f>
        <v>7590</v>
      </c>
      <c r="Q23" s="515">
        <v>20081.71</v>
      </c>
      <c r="R23" s="427">
        <v>5419.7</v>
      </c>
      <c r="S23" s="428">
        <v>0</v>
      </c>
      <c r="T23" s="429">
        <v>26440.8</v>
      </c>
      <c r="U23" s="430">
        <v>0</v>
      </c>
      <c r="V23" s="428"/>
      <c r="W23" s="429"/>
      <c r="X23" s="36">
        <v>0</v>
      </c>
      <c r="Y23" s="37">
        <v>0</v>
      </c>
      <c r="Z23" s="41">
        <f>7421.23+7.97</f>
        <v>7429.2</v>
      </c>
      <c r="AA23" s="58">
        <f t="shared" si="35"/>
        <v>5419.7</v>
      </c>
      <c r="AB23" s="59">
        <f t="shared" si="35"/>
        <v>0</v>
      </c>
      <c r="AC23" s="25">
        <f t="shared" si="35"/>
        <v>33870</v>
      </c>
      <c r="AD23" s="36"/>
      <c r="AE23" s="38"/>
      <c r="AF23" s="16"/>
      <c r="AG23" s="36"/>
      <c r="AH23" s="38"/>
      <c r="AI23" s="41"/>
      <c r="AJ23" s="36"/>
      <c r="AK23" s="38"/>
      <c r="AL23" s="77"/>
      <c r="AM23" s="58">
        <f t="shared" si="36"/>
        <v>0</v>
      </c>
      <c r="AN23" s="59">
        <f t="shared" si="36"/>
        <v>0</v>
      </c>
      <c r="AO23" s="88">
        <f t="shared" si="36"/>
        <v>0</v>
      </c>
      <c r="AP23" s="36"/>
      <c r="AQ23" s="38"/>
      <c r="AR23" s="16"/>
      <c r="AS23" s="36"/>
      <c r="AT23" s="38"/>
      <c r="AU23" s="16"/>
      <c r="AV23" s="36"/>
      <c r="AW23" s="41"/>
      <c r="AX23" s="163"/>
      <c r="AY23" s="32">
        <f t="shared" si="37"/>
        <v>0</v>
      </c>
      <c r="AZ23" s="33">
        <f t="shared" si="37"/>
        <v>0</v>
      </c>
      <c r="BA23" s="34">
        <f t="shared" si="37"/>
        <v>0</v>
      </c>
      <c r="BB23" s="37"/>
      <c r="BC23" s="38"/>
      <c r="BD23" s="77"/>
      <c r="BE23" s="36"/>
      <c r="BF23" s="38"/>
      <c r="BG23" s="16"/>
      <c r="BH23" s="123"/>
      <c r="BI23" s="38"/>
      <c r="BJ23" s="77"/>
      <c r="BK23" s="32">
        <f t="shared" si="38"/>
        <v>0</v>
      </c>
      <c r="BL23" s="33">
        <f t="shared" si="38"/>
        <v>0</v>
      </c>
      <c r="BM23" s="34">
        <f t="shared" si="38"/>
        <v>0</v>
      </c>
      <c r="BN23" s="58">
        <f t="shared" si="39"/>
        <v>5419.7</v>
      </c>
      <c r="BO23" s="59">
        <f t="shared" si="39"/>
        <v>0</v>
      </c>
      <c r="BP23" s="203">
        <f t="shared" si="39"/>
        <v>33870</v>
      </c>
      <c r="BQ23" s="111">
        <f>Q23+BO23-BN23</f>
        <v>14662.009999999998</v>
      </c>
      <c r="BR23" s="138">
        <f>L23-BO23</f>
        <v>6000</v>
      </c>
      <c r="BS23" s="486"/>
      <c r="BT23" s="135">
        <f aca="true" t="shared" si="40" ref="BT23:BT44">BN23/3</f>
        <v>1806.5666666666666</v>
      </c>
    </row>
    <row r="24" spans="1:72" s="1" customFormat="1" ht="18" customHeight="1" thickBot="1">
      <c r="A24" s="558"/>
      <c r="B24" s="373" t="s">
        <v>13</v>
      </c>
      <c r="C24" s="154"/>
      <c r="D24" s="296">
        <v>36340</v>
      </c>
      <c r="E24" s="58">
        <v>53508.24</v>
      </c>
      <c r="F24" s="59">
        <v>35362.36</v>
      </c>
      <c r="G24" s="203">
        <v>53931.87</v>
      </c>
      <c r="H24" s="43">
        <v>-977.6399999999994</v>
      </c>
      <c r="I24" s="148">
        <v>6000</v>
      </c>
      <c r="J24" s="341">
        <v>6000</v>
      </c>
      <c r="K24" s="174">
        <v>6000</v>
      </c>
      <c r="L24" s="297">
        <f>SUM(I24:K24)</f>
        <v>18000</v>
      </c>
      <c r="M24" s="504">
        <v>8000</v>
      </c>
      <c r="N24" s="297">
        <f>L24+M24</f>
        <v>26000</v>
      </c>
      <c r="O24" s="525">
        <v>23980</v>
      </c>
      <c r="P24" s="528">
        <f>N24+O24</f>
        <v>49980</v>
      </c>
      <c r="Q24" s="513">
        <v>0</v>
      </c>
      <c r="R24" s="415">
        <v>5804.25</v>
      </c>
      <c r="S24" s="416">
        <v>5804.25</v>
      </c>
      <c r="T24" s="417"/>
      <c r="U24" s="418">
        <v>0</v>
      </c>
      <c r="V24" s="416">
        <v>5804.25</v>
      </c>
      <c r="W24" s="417"/>
      <c r="X24" s="32">
        <v>5804.25</v>
      </c>
      <c r="Y24" s="33">
        <v>0</v>
      </c>
      <c r="Z24" s="35"/>
      <c r="AA24" s="58">
        <f t="shared" si="35"/>
        <v>11608.5</v>
      </c>
      <c r="AB24" s="59">
        <f t="shared" si="35"/>
        <v>11608.5</v>
      </c>
      <c r="AC24" s="25">
        <f t="shared" si="35"/>
        <v>0</v>
      </c>
      <c r="AD24" s="32"/>
      <c r="AE24" s="34"/>
      <c r="AF24" s="15"/>
      <c r="AG24" s="32"/>
      <c r="AH24" s="34"/>
      <c r="AI24" s="35"/>
      <c r="AJ24" s="32"/>
      <c r="AK24" s="34"/>
      <c r="AL24" s="75"/>
      <c r="AM24" s="58">
        <f t="shared" si="36"/>
        <v>0</v>
      </c>
      <c r="AN24" s="59">
        <f t="shared" si="36"/>
        <v>0</v>
      </c>
      <c r="AO24" s="88">
        <f t="shared" si="36"/>
        <v>0</v>
      </c>
      <c r="AP24" s="32"/>
      <c r="AQ24" s="34"/>
      <c r="AR24" s="15"/>
      <c r="AS24" s="32"/>
      <c r="AT24" s="34"/>
      <c r="AU24" s="15"/>
      <c r="AV24" s="32"/>
      <c r="AW24" s="35"/>
      <c r="AX24" s="127"/>
      <c r="AY24" s="32">
        <f t="shared" si="37"/>
        <v>0</v>
      </c>
      <c r="AZ24" s="33">
        <f t="shared" si="37"/>
        <v>0</v>
      </c>
      <c r="BA24" s="34">
        <f t="shared" si="37"/>
        <v>0</v>
      </c>
      <c r="BB24" s="33"/>
      <c r="BC24" s="34"/>
      <c r="BD24" s="75"/>
      <c r="BE24" s="32"/>
      <c r="BF24" s="34"/>
      <c r="BG24" s="15"/>
      <c r="BH24" s="121"/>
      <c r="BI24" s="34"/>
      <c r="BJ24" s="75"/>
      <c r="BK24" s="32">
        <f t="shared" si="38"/>
        <v>0</v>
      </c>
      <c r="BL24" s="33">
        <f t="shared" si="38"/>
        <v>0</v>
      </c>
      <c r="BM24" s="34">
        <f t="shared" si="38"/>
        <v>0</v>
      </c>
      <c r="BN24" s="58">
        <f t="shared" si="39"/>
        <v>11608.5</v>
      </c>
      <c r="BO24" s="59">
        <f t="shared" si="39"/>
        <v>11608.5</v>
      </c>
      <c r="BP24" s="203">
        <f t="shared" si="39"/>
        <v>0</v>
      </c>
      <c r="BQ24" s="111">
        <f>Q24+BO24-BN24</f>
        <v>0</v>
      </c>
      <c r="BR24" s="185">
        <f>L24-BO24</f>
        <v>6391.5</v>
      </c>
      <c r="BS24" s="490"/>
      <c r="BT24" s="225">
        <f t="shared" si="40"/>
        <v>3869.5</v>
      </c>
    </row>
    <row r="25" spans="1:72" s="1" customFormat="1" ht="19.5" customHeight="1" thickBot="1">
      <c r="A25" s="534" t="s">
        <v>14</v>
      </c>
      <c r="B25" s="535"/>
      <c r="C25" s="366"/>
      <c r="D25" s="173">
        <v>67450</v>
      </c>
      <c r="E25" s="60">
        <v>77469.67</v>
      </c>
      <c r="F25" s="60">
        <v>60849.25</v>
      </c>
      <c r="G25" s="204">
        <v>75610</v>
      </c>
      <c r="H25" s="354">
        <v>-6600.75</v>
      </c>
      <c r="I25" s="329">
        <f aca="true" t="shared" si="41" ref="I25:N25">SUM(I23:I24)</f>
        <v>6000</v>
      </c>
      <c r="J25" s="329">
        <f t="shared" si="41"/>
        <v>9000</v>
      </c>
      <c r="K25" s="329">
        <f t="shared" si="41"/>
        <v>9000</v>
      </c>
      <c r="L25" s="298">
        <f t="shared" si="41"/>
        <v>24000</v>
      </c>
      <c r="M25" s="298">
        <f t="shared" si="41"/>
        <v>8000</v>
      </c>
      <c r="N25" s="298">
        <f t="shared" si="41"/>
        <v>32000</v>
      </c>
      <c r="O25" s="298">
        <f>SUM(O23:O24)</f>
        <v>25570</v>
      </c>
      <c r="P25" s="298">
        <f>SUM(P23:P24)</f>
        <v>57570</v>
      </c>
      <c r="Q25" s="229">
        <f aca="true" t="shared" si="42" ref="Q25:AV25">Q23+Q24</f>
        <v>20081.71</v>
      </c>
      <c r="R25" s="419">
        <f t="shared" si="42"/>
        <v>11223.95</v>
      </c>
      <c r="S25" s="420">
        <f t="shared" si="42"/>
        <v>5804.25</v>
      </c>
      <c r="T25" s="420">
        <f t="shared" si="42"/>
        <v>26440.8</v>
      </c>
      <c r="U25" s="420">
        <f t="shared" si="42"/>
        <v>0</v>
      </c>
      <c r="V25" s="420">
        <f t="shared" si="42"/>
        <v>5804.25</v>
      </c>
      <c r="W25" s="420">
        <f t="shared" si="42"/>
        <v>0</v>
      </c>
      <c r="X25" s="60">
        <f t="shared" si="42"/>
        <v>5804.25</v>
      </c>
      <c r="Y25" s="60">
        <f t="shared" si="42"/>
        <v>0</v>
      </c>
      <c r="Z25" s="60">
        <f t="shared" si="42"/>
        <v>7429.2</v>
      </c>
      <c r="AA25" s="60">
        <f t="shared" si="42"/>
        <v>17028.2</v>
      </c>
      <c r="AB25" s="60">
        <f t="shared" si="42"/>
        <v>11608.5</v>
      </c>
      <c r="AC25" s="60">
        <f t="shared" si="42"/>
        <v>33870</v>
      </c>
      <c r="AD25" s="60">
        <f t="shared" si="42"/>
        <v>0</v>
      </c>
      <c r="AE25" s="60">
        <f t="shared" si="42"/>
        <v>0</v>
      </c>
      <c r="AF25" s="60">
        <f t="shared" si="42"/>
        <v>0</v>
      </c>
      <c r="AG25" s="60">
        <f t="shared" si="42"/>
        <v>0</v>
      </c>
      <c r="AH25" s="60">
        <f t="shared" si="42"/>
        <v>0</v>
      </c>
      <c r="AI25" s="60">
        <f t="shared" si="42"/>
        <v>0</v>
      </c>
      <c r="AJ25" s="60">
        <f t="shared" si="42"/>
        <v>0</v>
      </c>
      <c r="AK25" s="60">
        <f t="shared" si="42"/>
        <v>0</v>
      </c>
      <c r="AL25" s="62">
        <f t="shared" si="42"/>
        <v>0</v>
      </c>
      <c r="AM25" s="62">
        <f t="shared" si="42"/>
        <v>0</v>
      </c>
      <c r="AN25" s="62">
        <f t="shared" si="42"/>
        <v>0</v>
      </c>
      <c r="AO25" s="62">
        <f t="shared" si="42"/>
        <v>0</v>
      </c>
      <c r="AP25" s="60">
        <f t="shared" si="42"/>
        <v>0</v>
      </c>
      <c r="AQ25" s="60">
        <f t="shared" si="42"/>
        <v>0</v>
      </c>
      <c r="AR25" s="60">
        <f t="shared" si="42"/>
        <v>0</v>
      </c>
      <c r="AS25" s="60">
        <f t="shared" si="42"/>
        <v>0</v>
      </c>
      <c r="AT25" s="60">
        <f t="shared" si="42"/>
        <v>0</v>
      </c>
      <c r="AU25" s="60">
        <f t="shared" si="42"/>
        <v>0</v>
      </c>
      <c r="AV25" s="60">
        <f t="shared" si="42"/>
        <v>0</v>
      </c>
      <c r="AW25" s="60">
        <f aca="true" t="shared" si="43" ref="AW25:BR25">AW23+AW24</f>
        <v>0</v>
      </c>
      <c r="AX25" s="229">
        <f t="shared" si="43"/>
        <v>0</v>
      </c>
      <c r="AY25" s="60">
        <f t="shared" si="43"/>
        <v>0</v>
      </c>
      <c r="AZ25" s="60">
        <f t="shared" si="43"/>
        <v>0</v>
      </c>
      <c r="BA25" s="60">
        <f t="shared" si="43"/>
        <v>0</v>
      </c>
      <c r="BB25" s="60">
        <f t="shared" si="43"/>
        <v>0</v>
      </c>
      <c r="BC25" s="60">
        <f t="shared" si="43"/>
        <v>0</v>
      </c>
      <c r="BD25" s="60">
        <f t="shared" si="43"/>
        <v>0</v>
      </c>
      <c r="BE25" s="60">
        <f t="shared" si="43"/>
        <v>0</v>
      </c>
      <c r="BF25" s="60">
        <f t="shared" si="43"/>
        <v>0</v>
      </c>
      <c r="BG25" s="60">
        <f t="shared" si="43"/>
        <v>0</v>
      </c>
      <c r="BH25" s="60">
        <f t="shared" si="43"/>
        <v>0</v>
      </c>
      <c r="BI25" s="60">
        <f t="shared" si="43"/>
        <v>0</v>
      </c>
      <c r="BJ25" s="60">
        <f t="shared" si="43"/>
        <v>0</v>
      </c>
      <c r="BK25" s="60">
        <f t="shared" si="43"/>
        <v>0</v>
      </c>
      <c r="BL25" s="60">
        <f t="shared" si="43"/>
        <v>0</v>
      </c>
      <c r="BM25" s="60">
        <f t="shared" si="43"/>
        <v>0</v>
      </c>
      <c r="BN25" s="60">
        <f t="shared" si="43"/>
        <v>17028.2</v>
      </c>
      <c r="BO25" s="60">
        <f t="shared" si="43"/>
        <v>11608.5</v>
      </c>
      <c r="BP25" s="204">
        <f t="shared" si="43"/>
        <v>33870</v>
      </c>
      <c r="BQ25" s="204">
        <f t="shared" si="43"/>
        <v>14662.009999999998</v>
      </c>
      <c r="BR25" s="186">
        <f t="shared" si="43"/>
        <v>12391.5</v>
      </c>
      <c r="BS25" s="495"/>
      <c r="BT25" s="500">
        <f t="shared" si="40"/>
        <v>5676.066666666667</v>
      </c>
    </row>
    <row r="26" spans="1:72" s="1" customFormat="1" ht="18" customHeight="1">
      <c r="A26" s="554" t="s">
        <v>31</v>
      </c>
      <c r="B26" s="372" t="s">
        <v>0</v>
      </c>
      <c r="C26" s="163"/>
      <c r="D26" s="296">
        <v>29280</v>
      </c>
      <c r="E26" s="58">
        <v>30222.34</v>
      </c>
      <c r="F26" s="59">
        <v>0</v>
      </c>
      <c r="G26" s="203">
        <v>0</v>
      </c>
      <c r="H26" s="355">
        <v>942.34</v>
      </c>
      <c r="I26" s="148">
        <v>3000</v>
      </c>
      <c r="J26" s="341">
        <v>3000</v>
      </c>
      <c r="K26" s="174">
        <v>2060</v>
      </c>
      <c r="L26" s="297">
        <f aca="true" t="shared" si="44" ref="L26:L34">SUM(I26:K26)</f>
        <v>8060</v>
      </c>
      <c r="M26" s="504">
        <v>3000</v>
      </c>
      <c r="N26" s="297">
        <f aca="true" t="shared" si="45" ref="N26:N34">L26+M26</f>
        <v>11060</v>
      </c>
      <c r="O26" s="525">
        <v>22000</v>
      </c>
      <c r="P26" s="525">
        <f>N26+O26</f>
        <v>33060</v>
      </c>
      <c r="Q26" s="513"/>
      <c r="R26" s="415">
        <v>1782.63</v>
      </c>
      <c r="S26" s="416"/>
      <c r="T26" s="417"/>
      <c r="U26" s="418">
        <v>3114.8</v>
      </c>
      <c r="V26" s="416"/>
      <c r="W26" s="417"/>
      <c r="X26" s="32">
        <v>2023.89</v>
      </c>
      <c r="Y26" s="33"/>
      <c r="Z26" s="35"/>
      <c r="AA26" s="58">
        <f aca="true" t="shared" si="46" ref="AA26:AA34">R26+U26+X26</f>
        <v>6921.320000000001</v>
      </c>
      <c r="AB26" s="59">
        <f aca="true" t="shared" si="47" ref="AB26:AB34">S26+V26+Y26</f>
        <v>0</v>
      </c>
      <c r="AC26" s="25">
        <f aca="true" t="shared" si="48" ref="AC26:AC34">T26+W26+Z26</f>
        <v>0</v>
      </c>
      <c r="AD26" s="32"/>
      <c r="AE26" s="34"/>
      <c r="AF26" s="15"/>
      <c r="AG26" s="32"/>
      <c r="AH26" s="34"/>
      <c r="AI26" s="35"/>
      <c r="AJ26" s="32"/>
      <c r="AK26" s="34"/>
      <c r="AL26" s="75"/>
      <c r="AM26" s="58">
        <f aca="true" t="shared" si="49" ref="AM26:AM34">AD26+AG26+AJ26</f>
        <v>0</v>
      </c>
      <c r="AN26" s="59">
        <f aca="true" t="shared" si="50" ref="AN26:AN34">AE26+AH26+AK26</f>
        <v>0</v>
      </c>
      <c r="AO26" s="88">
        <f aca="true" t="shared" si="51" ref="AO26:AO34">AF26+AI26+AL26</f>
        <v>0</v>
      </c>
      <c r="AP26" s="32"/>
      <c r="AQ26" s="34"/>
      <c r="AR26" s="15"/>
      <c r="AS26" s="32"/>
      <c r="AT26" s="34"/>
      <c r="AU26" s="15"/>
      <c r="AV26" s="32"/>
      <c r="AW26" s="35"/>
      <c r="AX26" s="127"/>
      <c r="AY26" s="32">
        <f aca="true" t="shared" si="52" ref="AY26:AY34">AP26+AS26+AV26</f>
        <v>0</v>
      </c>
      <c r="AZ26" s="33">
        <f aca="true" t="shared" si="53" ref="AZ26:AZ34">AQ26+AT26+AW26</f>
        <v>0</v>
      </c>
      <c r="BA26" s="34">
        <f aca="true" t="shared" si="54" ref="BA26:BA34">AR26+AU26+AX26</f>
        <v>0</v>
      </c>
      <c r="BB26" s="33"/>
      <c r="BC26" s="34"/>
      <c r="BD26" s="75"/>
      <c r="BE26" s="32"/>
      <c r="BF26" s="34"/>
      <c r="BG26" s="15"/>
      <c r="BH26" s="121"/>
      <c r="BI26" s="34"/>
      <c r="BJ26" s="75"/>
      <c r="BK26" s="32">
        <f aca="true" t="shared" si="55" ref="BK26:BK34">BB26+BE26+BH26</f>
        <v>0</v>
      </c>
      <c r="BL26" s="33">
        <f aca="true" t="shared" si="56" ref="BL26:BL34">BC26+BF26+BI26</f>
        <v>0</v>
      </c>
      <c r="BM26" s="34">
        <f aca="true" t="shared" si="57" ref="BM26:BM34">BD26+BG26+BJ26</f>
        <v>0</v>
      </c>
      <c r="BN26" s="58">
        <f aca="true" t="shared" si="58" ref="BN26:BN34">AA26+AM26+AY26+BK26</f>
        <v>6921.320000000001</v>
      </c>
      <c r="BO26" s="59">
        <f aca="true" t="shared" si="59" ref="BO26:BO34">AB26+AN26+AZ26+BL26</f>
        <v>0</v>
      </c>
      <c r="BP26" s="203">
        <f aca="true" t="shared" si="60" ref="BP26:BP34">AC26+AO26+BA26+BM26</f>
        <v>0</v>
      </c>
      <c r="BQ26" s="214"/>
      <c r="BR26" s="140"/>
      <c r="BS26" s="488">
        <f>L26-BN26</f>
        <v>1138.6799999999994</v>
      </c>
      <c r="BT26" s="226">
        <f t="shared" si="40"/>
        <v>2307.106666666667</v>
      </c>
    </row>
    <row r="27" spans="1:72" s="1" customFormat="1" ht="18" customHeight="1" thickBot="1">
      <c r="A27" s="555"/>
      <c r="B27" s="377" t="s">
        <v>91</v>
      </c>
      <c r="C27" s="127"/>
      <c r="D27" s="297">
        <v>287740</v>
      </c>
      <c r="E27" s="58">
        <v>150189.69</v>
      </c>
      <c r="F27" s="59">
        <v>150189.69</v>
      </c>
      <c r="G27" s="203">
        <v>197392.16</v>
      </c>
      <c r="H27" s="353">
        <v>-137550.31</v>
      </c>
      <c r="I27" s="148">
        <v>40000</v>
      </c>
      <c r="J27" s="341">
        <v>40000</v>
      </c>
      <c r="K27" s="174">
        <v>40000</v>
      </c>
      <c r="L27" s="297">
        <f t="shared" si="44"/>
        <v>120000</v>
      </c>
      <c r="M27" s="504">
        <v>28000</v>
      </c>
      <c r="N27" s="297">
        <f t="shared" si="45"/>
        <v>148000</v>
      </c>
      <c r="O27" s="525">
        <v>242000</v>
      </c>
      <c r="P27" s="525">
        <f>N27+O27</f>
        <v>390000</v>
      </c>
      <c r="Q27" s="513">
        <v>4291.13</v>
      </c>
      <c r="R27" s="415"/>
      <c r="S27" s="416"/>
      <c r="T27" s="417"/>
      <c r="U27" s="418">
        <v>0</v>
      </c>
      <c r="V27" s="416"/>
      <c r="W27" s="417"/>
      <c r="X27" s="32">
        <v>0</v>
      </c>
      <c r="Y27" s="33">
        <v>36188.44</v>
      </c>
      <c r="Z27" s="35"/>
      <c r="AA27" s="58">
        <f t="shared" si="46"/>
        <v>0</v>
      </c>
      <c r="AB27" s="59">
        <f t="shared" si="47"/>
        <v>36188.44</v>
      </c>
      <c r="AC27" s="25">
        <f t="shared" si="48"/>
        <v>0</v>
      </c>
      <c r="AD27" s="32"/>
      <c r="AE27" s="34"/>
      <c r="AF27" s="15"/>
      <c r="AG27" s="32"/>
      <c r="AH27" s="34"/>
      <c r="AI27" s="35"/>
      <c r="AJ27" s="32"/>
      <c r="AK27" s="34"/>
      <c r="AL27" s="75"/>
      <c r="AM27" s="58">
        <f t="shared" si="49"/>
        <v>0</v>
      </c>
      <c r="AN27" s="59">
        <f t="shared" si="50"/>
        <v>0</v>
      </c>
      <c r="AO27" s="88">
        <f t="shared" si="51"/>
        <v>0</v>
      </c>
      <c r="AP27" s="32"/>
      <c r="AQ27" s="34"/>
      <c r="AR27" s="15"/>
      <c r="AS27" s="32"/>
      <c r="AT27" s="34"/>
      <c r="AU27" s="15"/>
      <c r="AV27" s="32"/>
      <c r="AW27" s="35"/>
      <c r="AX27" s="127"/>
      <c r="AY27" s="32">
        <f t="shared" si="52"/>
        <v>0</v>
      </c>
      <c r="AZ27" s="33">
        <f t="shared" si="53"/>
        <v>0</v>
      </c>
      <c r="BA27" s="34">
        <f t="shared" si="54"/>
        <v>0</v>
      </c>
      <c r="BB27" s="33"/>
      <c r="BC27" s="34"/>
      <c r="BD27" s="75"/>
      <c r="BE27" s="32"/>
      <c r="BF27" s="34"/>
      <c r="BG27" s="15"/>
      <c r="BH27" s="121"/>
      <c r="BI27" s="34"/>
      <c r="BJ27" s="75"/>
      <c r="BK27" s="32">
        <f t="shared" si="55"/>
        <v>0</v>
      </c>
      <c r="BL27" s="33">
        <f t="shared" si="56"/>
        <v>0</v>
      </c>
      <c r="BM27" s="34">
        <f t="shared" si="57"/>
        <v>0</v>
      </c>
      <c r="BN27" s="58">
        <f t="shared" si="58"/>
        <v>0</v>
      </c>
      <c r="BO27" s="59">
        <f t="shared" si="59"/>
        <v>36188.44</v>
      </c>
      <c r="BP27" s="203">
        <f t="shared" si="60"/>
        <v>0</v>
      </c>
      <c r="BQ27" s="214">
        <f>Q27+BO27-BN27</f>
        <v>40479.57</v>
      </c>
      <c r="BR27" s="142">
        <f>L27-BO27</f>
        <v>83811.56</v>
      </c>
      <c r="BS27" s="489"/>
      <c r="BT27" s="135">
        <f t="shared" si="40"/>
        <v>0</v>
      </c>
    </row>
    <row r="28" spans="1:72" s="1" customFormat="1" ht="18" customHeight="1" thickBot="1">
      <c r="A28" s="564"/>
      <c r="B28" s="326" t="s">
        <v>113</v>
      </c>
      <c r="C28" s="127"/>
      <c r="D28" s="297"/>
      <c r="E28" s="58"/>
      <c r="F28" s="59"/>
      <c r="G28" s="203"/>
      <c r="H28" s="353"/>
      <c r="I28" s="148">
        <v>11000</v>
      </c>
      <c r="J28" s="341">
        <v>33000</v>
      </c>
      <c r="K28" s="174">
        <v>33000</v>
      </c>
      <c r="L28" s="297">
        <f t="shared" si="44"/>
        <v>77000</v>
      </c>
      <c r="M28" s="504">
        <v>33000</v>
      </c>
      <c r="N28" s="297">
        <f t="shared" si="45"/>
        <v>110000</v>
      </c>
      <c r="O28" s="525">
        <v>264000</v>
      </c>
      <c r="P28" s="525">
        <f aca="true" t="shared" si="61" ref="P28:P34">N28+O28</f>
        <v>374000</v>
      </c>
      <c r="Q28" s="513">
        <v>0</v>
      </c>
      <c r="R28" s="415"/>
      <c r="S28" s="416"/>
      <c r="T28" s="417"/>
      <c r="U28" s="418">
        <v>0</v>
      </c>
      <c r="V28" s="416"/>
      <c r="W28" s="417"/>
      <c r="X28" s="32">
        <v>0</v>
      </c>
      <c r="Y28" s="33"/>
      <c r="Z28" s="35"/>
      <c r="AA28" s="58">
        <f t="shared" si="46"/>
        <v>0</v>
      </c>
      <c r="AB28" s="59">
        <f t="shared" si="47"/>
        <v>0</v>
      </c>
      <c r="AC28" s="25">
        <f t="shared" si="48"/>
        <v>0</v>
      </c>
      <c r="AD28" s="32"/>
      <c r="AE28" s="34"/>
      <c r="AF28" s="15"/>
      <c r="AG28" s="32"/>
      <c r="AH28" s="34"/>
      <c r="AI28" s="35"/>
      <c r="AJ28" s="32"/>
      <c r="AK28" s="34"/>
      <c r="AL28" s="75"/>
      <c r="AM28" s="58">
        <f t="shared" si="49"/>
        <v>0</v>
      </c>
      <c r="AN28" s="59">
        <f t="shared" si="50"/>
        <v>0</v>
      </c>
      <c r="AO28" s="88">
        <f t="shared" si="51"/>
        <v>0</v>
      </c>
      <c r="AP28" s="32"/>
      <c r="AQ28" s="34"/>
      <c r="AR28" s="15"/>
      <c r="AS28" s="32"/>
      <c r="AT28" s="34"/>
      <c r="AU28" s="15"/>
      <c r="AV28" s="32"/>
      <c r="AW28" s="35"/>
      <c r="AX28" s="127"/>
      <c r="AY28" s="32">
        <f t="shared" si="52"/>
        <v>0</v>
      </c>
      <c r="AZ28" s="33">
        <f t="shared" si="53"/>
        <v>0</v>
      </c>
      <c r="BA28" s="34">
        <f t="shared" si="54"/>
        <v>0</v>
      </c>
      <c r="BB28" s="33"/>
      <c r="BC28" s="34"/>
      <c r="BD28" s="75"/>
      <c r="BE28" s="32"/>
      <c r="BF28" s="34"/>
      <c r="BG28" s="15"/>
      <c r="BH28" s="121"/>
      <c r="BI28" s="34"/>
      <c r="BJ28" s="75"/>
      <c r="BK28" s="32">
        <f t="shared" si="55"/>
        <v>0</v>
      </c>
      <c r="BL28" s="33">
        <f t="shared" si="56"/>
        <v>0</v>
      </c>
      <c r="BM28" s="34">
        <f t="shared" si="57"/>
        <v>0</v>
      </c>
      <c r="BN28" s="58">
        <f t="shared" si="58"/>
        <v>0</v>
      </c>
      <c r="BO28" s="59">
        <f t="shared" si="59"/>
        <v>0</v>
      </c>
      <c r="BP28" s="203">
        <f t="shared" si="60"/>
        <v>0</v>
      </c>
      <c r="BQ28" s="214">
        <f>Q28+BO28-BN28</f>
        <v>0</v>
      </c>
      <c r="BR28" s="142">
        <f>L28-BO28</f>
        <v>77000</v>
      </c>
      <c r="BS28" s="489"/>
      <c r="BT28" s="135">
        <f t="shared" si="40"/>
        <v>0</v>
      </c>
    </row>
    <row r="29" spans="1:72" s="1" customFormat="1" ht="19.5" customHeight="1">
      <c r="A29" s="555"/>
      <c r="B29" s="378" t="s">
        <v>29</v>
      </c>
      <c r="C29" s="127"/>
      <c r="D29" s="297">
        <v>585200</v>
      </c>
      <c r="E29" s="58">
        <v>341366.2</v>
      </c>
      <c r="F29" s="59">
        <v>585199.2</v>
      </c>
      <c r="G29" s="203">
        <v>877793.46</v>
      </c>
      <c r="H29" s="353">
        <v>-0.8000000000465661</v>
      </c>
      <c r="I29" s="148">
        <v>0</v>
      </c>
      <c r="J29" s="341">
        <v>0</v>
      </c>
      <c r="K29" s="174"/>
      <c r="L29" s="297">
        <f t="shared" si="44"/>
        <v>0</v>
      </c>
      <c r="M29" s="504">
        <v>0</v>
      </c>
      <c r="N29" s="297">
        <f t="shared" si="45"/>
        <v>0</v>
      </c>
      <c r="O29" s="525"/>
      <c r="P29" s="525">
        <f t="shared" si="61"/>
        <v>0</v>
      </c>
      <c r="Q29" s="513">
        <v>0</v>
      </c>
      <c r="R29" s="415"/>
      <c r="S29" s="416"/>
      <c r="T29" s="417"/>
      <c r="U29" s="418"/>
      <c r="V29" s="416"/>
      <c r="W29" s="417"/>
      <c r="X29" s="32"/>
      <c r="Y29" s="33"/>
      <c r="Z29" s="35"/>
      <c r="AA29" s="58">
        <f t="shared" si="46"/>
        <v>0</v>
      </c>
      <c r="AB29" s="59">
        <f t="shared" si="47"/>
        <v>0</v>
      </c>
      <c r="AC29" s="25">
        <f t="shared" si="48"/>
        <v>0</v>
      </c>
      <c r="AD29" s="32"/>
      <c r="AE29" s="34"/>
      <c r="AF29" s="15"/>
      <c r="AG29" s="32"/>
      <c r="AH29" s="34"/>
      <c r="AI29" s="35"/>
      <c r="AJ29" s="32"/>
      <c r="AK29" s="34"/>
      <c r="AL29" s="75"/>
      <c r="AM29" s="58">
        <f t="shared" si="49"/>
        <v>0</v>
      </c>
      <c r="AN29" s="59">
        <f t="shared" si="50"/>
        <v>0</v>
      </c>
      <c r="AO29" s="88">
        <f t="shared" si="51"/>
        <v>0</v>
      </c>
      <c r="AP29" s="32"/>
      <c r="AQ29" s="34"/>
      <c r="AR29" s="15"/>
      <c r="AS29" s="32"/>
      <c r="AT29" s="34"/>
      <c r="AU29" s="15"/>
      <c r="AV29" s="32"/>
      <c r="AW29" s="35"/>
      <c r="AX29" s="127"/>
      <c r="AY29" s="32">
        <f t="shared" si="52"/>
        <v>0</v>
      </c>
      <c r="AZ29" s="33">
        <f t="shared" si="53"/>
        <v>0</v>
      </c>
      <c r="BA29" s="34">
        <f t="shared" si="54"/>
        <v>0</v>
      </c>
      <c r="BB29" s="33"/>
      <c r="BC29" s="34"/>
      <c r="BD29" s="75"/>
      <c r="BE29" s="32"/>
      <c r="BF29" s="34"/>
      <c r="BG29" s="15"/>
      <c r="BH29" s="121"/>
      <c r="BI29" s="34"/>
      <c r="BJ29" s="75"/>
      <c r="BK29" s="32">
        <f t="shared" si="55"/>
        <v>0</v>
      </c>
      <c r="BL29" s="33">
        <f t="shared" si="56"/>
        <v>0</v>
      </c>
      <c r="BM29" s="34">
        <f t="shared" si="57"/>
        <v>0</v>
      </c>
      <c r="BN29" s="58">
        <f t="shared" si="58"/>
        <v>0</v>
      </c>
      <c r="BO29" s="59">
        <f t="shared" si="59"/>
        <v>0</v>
      </c>
      <c r="BP29" s="203">
        <f t="shared" si="60"/>
        <v>0</v>
      </c>
      <c r="BQ29" s="214">
        <f>Q29+BO29-BN29</f>
        <v>0</v>
      </c>
      <c r="BR29" s="142">
        <f>L29-BO29</f>
        <v>0</v>
      </c>
      <c r="BS29" s="489"/>
      <c r="BT29" s="135">
        <f t="shared" si="40"/>
        <v>0</v>
      </c>
    </row>
    <row r="30" spans="1:72" s="1" customFormat="1" ht="15.75" customHeight="1">
      <c r="A30" s="555"/>
      <c r="B30" s="379" t="s">
        <v>30</v>
      </c>
      <c r="C30" s="127"/>
      <c r="D30" s="297">
        <v>14070</v>
      </c>
      <c r="E30" s="58">
        <v>15949.5</v>
      </c>
      <c r="F30" s="59">
        <v>0</v>
      </c>
      <c r="G30" s="203">
        <v>0</v>
      </c>
      <c r="H30" s="356">
        <v>1879.5</v>
      </c>
      <c r="I30" s="148">
        <v>2000</v>
      </c>
      <c r="J30" s="341">
        <v>2000</v>
      </c>
      <c r="K30" s="174">
        <v>2120</v>
      </c>
      <c r="L30" s="297">
        <f t="shared" si="44"/>
        <v>6120</v>
      </c>
      <c r="M30" s="504">
        <v>2000</v>
      </c>
      <c r="N30" s="297">
        <f t="shared" si="45"/>
        <v>8120</v>
      </c>
      <c r="O30" s="525">
        <v>16120</v>
      </c>
      <c r="P30" s="525">
        <f t="shared" si="61"/>
        <v>24240</v>
      </c>
      <c r="Q30" s="513"/>
      <c r="R30" s="415">
        <v>2012.18</v>
      </c>
      <c r="S30" s="416"/>
      <c r="T30" s="417"/>
      <c r="U30" s="418">
        <v>0</v>
      </c>
      <c r="V30" s="416"/>
      <c r="W30" s="417"/>
      <c r="X30" s="32">
        <v>0</v>
      </c>
      <c r="Y30" s="33"/>
      <c r="Z30" s="35"/>
      <c r="AA30" s="58">
        <f t="shared" si="46"/>
        <v>2012.18</v>
      </c>
      <c r="AB30" s="59">
        <f t="shared" si="47"/>
        <v>0</v>
      </c>
      <c r="AC30" s="25">
        <f t="shared" si="48"/>
        <v>0</v>
      </c>
      <c r="AD30" s="32"/>
      <c r="AE30" s="34"/>
      <c r="AF30" s="15"/>
      <c r="AG30" s="32"/>
      <c r="AH30" s="34"/>
      <c r="AI30" s="35"/>
      <c r="AJ30" s="32"/>
      <c r="AK30" s="34"/>
      <c r="AL30" s="75"/>
      <c r="AM30" s="58">
        <f t="shared" si="49"/>
        <v>0</v>
      </c>
      <c r="AN30" s="59">
        <f t="shared" si="50"/>
        <v>0</v>
      </c>
      <c r="AO30" s="88">
        <f t="shared" si="51"/>
        <v>0</v>
      </c>
      <c r="AP30" s="32"/>
      <c r="AQ30" s="34"/>
      <c r="AR30" s="15"/>
      <c r="AS30" s="32"/>
      <c r="AT30" s="34"/>
      <c r="AU30" s="15"/>
      <c r="AV30" s="32"/>
      <c r="AW30" s="35"/>
      <c r="AX30" s="127"/>
      <c r="AY30" s="32">
        <f t="shared" si="52"/>
        <v>0</v>
      </c>
      <c r="AZ30" s="33">
        <f t="shared" si="53"/>
        <v>0</v>
      </c>
      <c r="BA30" s="34">
        <f t="shared" si="54"/>
        <v>0</v>
      </c>
      <c r="BB30" s="33"/>
      <c r="BC30" s="34"/>
      <c r="BD30" s="75"/>
      <c r="BE30" s="32"/>
      <c r="BF30" s="34"/>
      <c r="BG30" s="15"/>
      <c r="BH30" s="121"/>
      <c r="BI30" s="34"/>
      <c r="BJ30" s="75"/>
      <c r="BK30" s="32">
        <f t="shared" si="55"/>
        <v>0</v>
      </c>
      <c r="BL30" s="33">
        <f t="shared" si="56"/>
        <v>0</v>
      </c>
      <c r="BM30" s="34">
        <f t="shared" si="57"/>
        <v>0</v>
      </c>
      <c r="BN30" s="58">
        <f t="shared" si="58"/>
        <v>2012.18</v>
      </c>
      <c r="BO30" s="59">
        <f t="shared" si="59"/>
        <v>0</v>
      </c>
      <c r="BP30" s="203">
        <f t="shared" si="60"/>
        <v>0</v>
      </c>
      <c r="BQ30" s="214"/>
      <c r="BR30" s="139"/>
      <c r="BS30" s="489">
        <f>L30-BN30</f>
        <v>4107.82</v>
      </c>
      <c r="BT30" s="135">
        <f t="shared" si="40"/>
        <v>670.7266666666667</v>
      </c>
    </row>
    <row r="31" spans="1:72" s="1" customFormat="1" ht="18.75" customHeight="1">
      <c r="A31" s="555"/>
      <c r="B31" s="379" t="s">
        <v>39</v>
      </c>
      <c r="C31" s="117"/>
      <c r="D31" s="297">
        <v>2391570</v>
      </c>
      <c r="E31" s="58">
        <v>2391472.72</v>
      </c>
      <c r="F31" s="59">
        <v>0</v>
      </c>
      <c r="G31" s="203">
        <v>0</v>
      </c>
      <c r="H31" s="43">
        <v>-97.28000000026077</v>
      </c>
      <c r="I31" s="148">
        <v>195000</v>
      </c>
      <c r="J31" s="341">
        <v>195000</v>
      </c>
      <c r="K31" s="174">
        <v>195000</v>
      </c>
      <c r="L31" s="297">
        <f t="shared" si="44"/>
        <v>585000</v>
      </c>
      <c r="M31" s="504">
        <v>195000</v>
      </c>
      <c r="N31" s="297">
        <f t="shared" si="45"/>
        <v>780000</v>
      </c>
      <c r="O31" s="525">
        <v>1555000</v>
      </c>
      <c r="P31" s="525">
        <f t="shared" si="61"/>
        <v>2335000</v>
      </c>
      <c r="Q31" s="513"/>
      <c r="R31" s="415">
        <v>194468.56</v>
      </c>
      <c r="S31" s="416"/>
      <c r="T31" s="417"/>
      <c r="U31" s="418">
        <v>194468.56</v>
      </c>
      <c r="V31" s="416"/>
      <c r="W31" s="417"/>
      <c r="X31" s="32">
        <v>195420.7</v>
      </c>
      <c r="Y31" s="33"/>
      <c r="Z31" s="35"/>
      <c r="AA31" s="58">
        <f t="shared" si="46"/>
        <v>584357.8200000001</v>
      </c>
      <c r="AB31" s="59">
        <f t="shared" si="47"/>
        <v>0</v>
      </c>
      <c r="AC31" s="25">
        <f t="shared" si="48"/>
        <v>0</v>
      </c>
      <c r="AD31" s="32"/>
      <c r="AE31" s="34"/>
      <c r="AF31" s="15"/>
      <c r="AG31" s="32"/>
      <c r="AH31" s="34"/>
      <c r="AI31" s="35"/>
      <c r="AJ31" s="32"/>
      <c r="AK31" s="34"/>
      <c r="AL31" s="75"/>
      <c r="AM31" s="58">
        <f t="shared" si="49"/>
        <v>0</v>
      </c>
      <c r="AN31" s="59">
        <f t="shared" si="50"/>
        <v>0</v>
      </c>
      <c r="AO31" s="88">
        <f t="shared" si="51"/>
        <v>0</v>
      </c>
      <c r="AP31" s="32"/>
      <c r="AQ31" s="34"/>
      <c r="AR31" s="15"/>
      <c r="AS31" s="32"/>
      <c r="AT31" s="34"/>
      <c r="AU31" s="15"/>
      <c r="AV31" s="32"/>
      <c r="AW31" s="35"/>
      <c r="AX31" s="127"/>
      <c r="AY31" s="32">
        <f t="shared" si="52"/>
        <v>0</v>
      </c>
      <c r="AZ31" s="33">
        <f t="shared" si="53"/>
        <v>0</v>
      </c>
      <c r="BA31" s="34">
        <f t="shared" si="54"/>
        <v>0</v>
      </c>
      <c r="BB31" s="33"/>
      <c r="BC31" s="34"/>
      <c r="BD31" s="75"/>
      <c r="BE31" s="32"/>
      <c r="BF31" s="34"/>
      <c r="BG31" s="15"/>
      <c r="BH31" s="121"/>
      <c r="BI31" s="34"/>
      <c r="BJ31" s="75"/>
      <c r="BK31" s="32">
        <f t="shared" si="55"/>
        <v>0</v>
      </c>
      <c r="BL31" s="33">
        <f t="shared" si="56"/>
        <v>0</v>
      </c>
      <c r="BM31" s="34">
        <f t="shared" si="57"/>
        <v>0</v>
      </c>
      <c r="BN31" s="58">
        <f t="shared" si="58"/>
        <v>584357.8200000001</v>
      </c>
      <c r="BO31" s="59">
        <f t="shared" si="59"/>
        <v>0</v>
      </c>
      <c r="BP31" s="203">
        <f t="shared" si="60"/>
        <v>0</v>
      </c>
      <c r="BQ31" s="214"/>
      <c r="BR31" s="139"/>
      <c r="BS31" s="489">
        <f>L31-BN31</f>
        <v>642.1799999999348</v>
      </c>
      <c r="BT31" s="135">
        <f t="shared" si="40"/>
        <v>194785.94000000003</v>
      </c>
    </row>
    <row r="32" spans="1:72" s="1" customFormat="1" ht="15.75" customHeight="1">
      <c r="A32" s="555"/>
      <c r="B32" s="379" t="s">
        <v>74</v>
      </c>
      <c r="C32" s="127"/>
      <c r="D32" s="297">
        <v>124530</v>
      </c>
      <c r="E32" s="58">
        <v>124516.2</v>
      </c>
      <c r="F32" s="59">
        <v>0</v>
      </c>
      <c r="G32" s="203">
        <v>0</v>
      </c>
      <c r="H32" s="43">
        <v>-13.799999999988358</v>
      </c>
      <c r="I32" s="148">
        <v>11000</v>
      </c>
      <c r="J32" s="341">
        <v>11000</v>
      </c>
      <c r="K32" s="174">
        <v>11000</v>
      </c>
      <c r="L32" s="297">
        <f t="shared" si="44"/>
        <v>33000</v>
      </c>
      <c r="M32" s="504">
        <v>11000</v>
      </c>
      <c r="N32" s="297">
        <f t="shared" si="45"/>
        <v>44000</v>
      </c>
      <c r="O32" s="525">
        <v>81000</v>
      </c>
      <c r="P32" s="525">
        <f t="shared" si="61"/>
        <v>125000</v>
      </c>
      <c r="Q32" s="513"/>
      <c r="R32" s="415">
        <v>10376.35</v>
      </c>
      <c r="S32" s="416"/>
      <c r="T32" s="417"/>
      <c r="U32" s="418">
        <v>10376.35</v>
      </c>
      <c r="V32" s="416"/>
      <c r="W32" s="417"/>
      <c r="X32" s="32">
        <v>10136.65</v>
      </c>
      <c r="Y32" s="33"/>
      <c r="Z32" s="35"/>
      <c r="AA32" s="58">
        <f t="shared" si="46"/>
        <v>30889.35</v>
      </c>
      <c r="AB32" s="59">
        <f t="shared" si="47"/>
        <v>0</v>
      </c>
      <c r="AC32" s="25">
        <f t="shared" si="48"/>
        <v>0</v>
      </c>
      <c r="AD32" s="32"/>
      <c r="AE32" s="34"/>
      <c r="AF32" s="15"/>
      <c r="AG32" s="32"/>
      <c r="AH32" s="34"/>
      <c r="AI32" s="35"/>
      <c r="AJ32" s="32"/>
      <c r="AK32" s="34"/>
      <c r="AL32" s="75"/>
      <c r="AM32" s="58">
        <f t="shared" si="49"/>
        <v>0</v>
      </c>
      <c r="AN32" s="59">
        <f t="shared" si="50"/>
        <v>0</v>
      </c>
      <c r="AO32" s="88">
        <f t="shared" si="51"/>
        <v>0</v>
      </c>
      <c r="AP32" s="32"/>
      <c r="AQ32" s="34"/>
      <c r="AR32" s="15"/>
      <c r="AS32" s="32"/>
      <c r="AT32" s="34"/>
      <c r="AU32" s="15"/>
      <c r="AV32" s="32"/>
      <c r="AW32" s="35"/>
      <c r="AX32" s="127"/>
      <c r="AY32" s="32">
        <f t="shared" si="52"/>
        <v>0</v>
      </c>
      <c r="AZ32" s="33">
        <f t="shared" si="53"/>
        <v>0</v>
      </c>
      <c r="BA32" s="34">
        <f t="shared" si="54"/>
        <v>0</v>
      </c>
      <c r="BB32" s="33"/>
      <c r="BC32" s="34"/>
      <c r="BD32" s="75"/>
      <c r="BE32" s="32"/>
      <c r="BF32" s="34"/>
      <c r="BG32" s="15"/>
      <c r="BH32" s="121"/>
      <c r="BI32" s="34"/>
      <c r="BJ32" s="75"/>
      <c r="BK32" s="32">
        <f t="shared" si="55"/>
        <v>0</v>
      </c>
      <c r="BL32" s="33">
        <f t="shared" si="56"/>
        <v>0</v>
      </c>
      <c r="BM32" s="34">
        <f t="shared" si="57"/>
        <v>0</v>
      </c>
      <c r="BN32" s="58">
        <f t="shared" si="58"/>
        <v>30889.35</v>
      </c>
      <c r="BO32" s="59">
        <f t="shared" si="59"/>
        <v>0</v>
      </c>
      <c r="BP32" s="203">
        <f t="shared" si="60"/>
        <v>0</v>
      </c>
      <c r="BQ32" s="214"/>
      <c r="BR32" s="139"/>
      <c r="BS32" s="489">
        <f>L32-BN32</f>
        <v>2110.6500000000015</v>
      </c>
      <c r="BT32" s="135">
        <f t="shared" si="40"/>
        <v>10296.449999999999</v>
      </c>
    </row>
    <row r="33" spans="1:72" s="1" customFormat="1" ht="20.25" customHeight="1">
      <c r="A33" s="555"/>
      <c r="B33" s="379" t="s">
        <v>34</v>
      </c>
      <c r="C33" s="127"/>
      <c r="D33" s="297">
        <v>33290</v>
      </c>
      <c r="E33" s="58">
        <v>32871.95</v>
      </c>
      <c r="F33" s="59">
        <v>0</v>
      </c>
      <c r="G33" s="203">
        <v>0</v>
      </c>
      <c r="H33" s="357">
        <v>-418.0500000000029</v>
      </c>
      <c r="I33" s="148">
        <v>4000</v>
      </c>
      <c r="J33" s="341">
        <v>4000</v>
      </c>
      <c r="K33" s="174">
        <v>6000</v>
      </c>
      <c r="L33" s="297">
        <f t="shared" si="44"/>
        <v>14000</v>
      </c>
      <c r="M33" s="504">
        <v>4000</v>
      </c>
      <c r="N33" s="297">
        <f t="shared" si="45"/>
        <v>18000</v>
      </c>
      <c r="O33" s="525">
        <v>30000</v>
      </c>
      <c r="P33" s="525">
        <f t="shared" si="61"/>
        <v>48000</v>
      </c>
      <c r="Q33" s="513"/>
      <c r="R33" s="415">
        <v>3254.11</v>
      </c>
      <c r="S33" s="416"/>
      <c r="T33" s="417"/>
      <c r="U33" s="418">
        <v>89.31</v>
      </c>
      <c r="V33" s="416"/>
      <c r="W33" s="417"/>
      <c r="X33" s="32">
        <v>19285.98</v>
      </c>
      <c r="Y33" s="33"/>
      <c r="Z33" s="35"/>
      <c r="AA33" s="58">
        <f t="shared" si="46"/>
        <v>22629.4</v>
      </c>
      <c r="AB33" s="59">
        <f t="shared" si="47"/>
        <v>0</v>
      </c>
      <c r="AC33" s="25">
        <f t="shared" si="48"/>
        <v>0</v>
      </c>
      <c r="AD33" s="32"/>
      <c r="AE33" s="34"/>
      <c r="AF33" s="15"/>
      <c r="AG33" s="32"/>
      <c r="AH33" s="34"/>
      <c r="AI33" s="35"/>
      <c r="AJ33" s="32"/>
      <c r="AK33" s="34"/>
      <c r="AL33" s="75"/>
      <c r="AM33" s="58">
        <f t="shared" si="49"/>
        <v>0</v>
      </c>
      <c r="AN33" s="59">
        <f t="shared" si="50"/>
        <v>0</v>
      </c>
      <c r="AO33" s="88">
        <f t="shared" si="51"/>
        <v>0</v>
      </c>
      <c r="AP33" s="32"/>
      <c r="AQ33" s="34"/>
      <c r="AR33" s="15"/>
      <c r="AS33" s="32"/>
      <c r="AT33" s="34"/>
      <c r="AU33" s="15"/>
      <c r="AV33" s="32"/>
      <c r="AW33" s="35"/>
      <c r="AX33" s="127"/>
      <c r="AY33" s="32">
        <f t="shared" si="52"/>
        <v>0</v>
      </c>
      <c r="AZ33" s="33">
        <f t="shared" si="53"/>
        <v>0</v>
      </c>
      <c r="BA33" s="34">
        <f t="shared" si="54"/>
        <v>0</v>
      </c>
      <c r="BB33" s="33"/>
      <c r="BC33" s="34"/>
      <c r="BD33" s="75"/>
      <c r="BE33" s="32"/>
      <c r="BF33" s="34"/>
      <c r="BG33" s="15"/>
      <c r="BH33" s="121"/>
      <c r="BI33" s="34"/>
      <c r="BJ33" s="75"/>
      <c r="BK33" s="32">
        <f t="shared" si="55"/>
        <v>0</v>
      </c>
      <c r="BL33" s="33">
        <f t="shared" si="56"/>
        <v>0</v>
      </c>
      <c r="BM33" s="34">
        <f t="shared" si="57"/>
        <v>0</v>
      </c>
      <c r="BN33" s="58">
        <f t="shared" si="58"/>
        <v>22629.4</v>
      </c>
      <c r="BO33" s="59">
        <f t="shared" si="59"/>
        <v>0</v>
      </c>
      <c r="BP33" s="203">
        <f t="shared" si="60"/>
        <v>0</v>
      </c>
      <c r="BQ33" s="214"/>
      <c r="BR33" s="139"/>
      <c r="BS33" s="489">
        <f>L33-BN33</f>
        <v>-8629.400000000001</v>
      </c>
      <c r="BT33" s="135">
        <f t="shared" si="40"/>
        <v>7543.133333333334</v>
      </c>
    </row>
    <row r="34" spans="1:72" s="1" customFormat="1" ht="21.75" customHeight="1" thickBot="1">
      <c r="A34" s="558"/>
      <c r="B34" s="380" t="s">
        <v>15</v>
      </c>
      <c r="C34" s="166"/>
      <c r="D34" s="297">
        <v>994940</v>
      </c>
      <c r="E34" s="58">
        <v>1074739.78</v>
      </c>
      <c r="F34" s="59">
        <v>0</v>
      </c>
      <c r="G34" s="203">
        <v>0</v>
      </c>
      <c r="H34" s="356">
        <v>79799.78</v>
      </c>
      <c r="I34" s="148">
        <v>113000</v>
      </c>
      <c r="J34" s="341">
        <v>113000</v>
      </c>
      <c r="K34" s="174">
        <v>94200</v>
      </c>
      <c r="L34" s="297">
        <f t="shared" si="44"/>
        <v>320200</v>
      </c>
      <c r="M34" s="504">
        <v>113000</v>
      </c>
      <c r="N34" s="297">
        <f t="shared" si="45"/>
        <v>433200</v>
      </c>
      <c r="O34" s="525">
        <v>1372000</v>
      </c>
      <c r="P34" s="525">
        <f t="shared" si="61"/>
        <v>1805200</v>
      </c>
      <c r="Q34" s="513"/>
      <c r="R34" s="415">
        <v>103626.13</v>
      </c>
      <c r="S34" s="416"/>
      <c r="T34" s="417"/>
      <c r="U34" s="418">
        <v>95469.83</v>
      </c>
      <c r="V34" s="416"/>
      <c r="W34" s="417"/>
      <c r="X34" s="32">
        <v>176031.91</v>
      </c>
      <c r="Y34" s="33"/>
      <c r="Z34" s="35"/>
      <c r="AA34" s="58">
        <f t="shared" si="46"/>
        <v>375127.87</v>
      </c>
      <c r="AB34" s="59">
        <f t="shared" si="47"/>
        <v>0</v>
      </c>
      <c r="AC34" s="25">
        <f t="shared" si="48"/>
        <v>0</v>
      </c>
      <c r="AD34" s="32"/>
      <c r="AE34" s="34"/>
      <c r="AF34" s="15"/>
      <c r="AG34" s="32"/>
      <c r="AH34" s="34"/>
      <c r="AI34" s="35"/>
      <c r="AJ34" s="32"/>
      <c r="AK34" s="34"/>
      <c r="AL34" s="75"/>
      <c r="AM34" s="58">
        <f t="shared" si="49"/>
        <v>0</v>
      </c>
      <c r="AN34" s="59">
        <f t="shared" si="50"/>
        <v>0</v>
      </c>
      <c r="AO34" s="88">
        <f t="shared" si="51"/>
        <v>0</v>
      </c>
      <c r="AP34" s="32"/>
      <c r="AQ34" s="34"/>
      <c r="AR34" s="15"/>
      <c r="AS34" s="32"/>
      <c r="AT34" s="34"/>
      <c r="AU34" s="15"/>
      <c r="AV34" s="32"/>
      <c r="AW34" s="35"/>
      <c r="AX34" s="127"/>
      <c r="AY34" s="32">
        <f t="shared" si="52"/>
        <v>0</v>
      </c>
      <c r="AZ34" s="33">
        <f t="shared" si="53"/>
        <v>0</v>
      </c>
      <c r="BA34" s="34">
        <f t="shared" si="54"/>
        <v>0</v>
      </c>
      <c r="BB34" s="33"/>
      <c r="BC34" s="34"/>
      <c r="BD34" s="75"/>
      <c r="BE34" s="32"/>
      <c r="BF34" s="34"/>
      <c r="BG34" s="15"/>
      <c r="BH34" s="121"/>
      <c r="BI34" s="34"/>
      <c r="BJ34" s="75"/>
      <c r="BK34" s="32">
        <f t="shared" si="55"/>
        <v>0</v>
      </c>
      <c r="BL34" s="33">
        <f t="shared" si="56"/>
        <v>0</v>
      </c>
      <c r="BM34" s="34">
        <f t="shared" si="57"/>
        <v>0</v>
      </c>
      <c r="BN34" s="58">
        <f t="shared" si="58"/>
        <v>375127.87</v>
      </c>
      <c r="BO34" s="59">
        <f t="shared" si="59"/>
        <v>0</v>
      </c>
      <c r="BP34" s="203">
        <f t="shared" si="60"/>
        <v>0</v>
      </c>
      <c r="BQ34" s="216"/>
      <c r="BR34" s="139"/>
      <c r="BS34" s="489">
        <f>L34-BN34</f>
        <v>-54927.869999999995</v>
      </c>
      <c r="BT34" s="225">
        <f t="shared" si="40"/>
        <v>125042.62333333334</v>
      </c>
    </row>
    <row r="35" spans="1:72" s="1" customFormat="1" ht="19.5" customHeight="1" thickBot="1">
      <c r="A35" s="534" t="s">
        <v>16</v>
      </c>
      <c r="B35" s="535"/>
      <c r="C35" s="366"/>
      <c r="D35" s="173">
        <v>4460620</v>
      </c>
      <c r="E35" s="60">
        <v>4161328.38</v>
      </c>
      <c r="F35" s="60">
        <v>735388.89</v>
      </c>
      <c r="G35" s="204">
        <v>1075185.62</v>
      </c>
      <c r="H35" s="354">
        <v>-55458.62000000029</v>
      </c>
      <c r="I35" s="329">
        <f aca="true" t="shared" si="62" ref="I35:AP35">SUM(I26:I34)</f>
        <v>379000</v>
      </c>
      <c r="J35" s="329">
        <f t="shared" si="62"/>
        <v>401000</v>
      </c>
      <c r="K35" s="329">
        <f t="shared" si="62"/>
        <v>383380</v>
      </c>
      <c r="L35" s="298">
        <f t="shared" si="62"/>
        <v>1163380</v>
      </c>
      <c r="M35" s="505">
        <f t="shared" si="62"/>
        <v>389000</v>
      </c>
      <c r="N35" s="505">
        <f t="shared" si="62"/>
        <v>1552380</v>
      </c>
      <c r="O35" s="505">
        <f>SUM(O26:O34)</f>
        <v>3582120</v>
      </c>
      <c r="P35" s="505">
        <f>SUM(P26:P34)</f>
        <v>5134500</v>
      </c>
      <c r="Q35" s="229">
        <f t="shared" si="62"/>
        <v>4291.13</v>
      </c>
      <c r="R35" s="419">
        <f t="shared" si="62"/>
        <v>315519.95999999996</v>
      </c>
      <c r="S35" s="420">
        <f t="shared" si="62"/>
        <v>0</v>
      </c>
      <c r="T35" s="420">
        <f t="shared" si="62"/>
        <v>0</v>
      </c>
      <c r="U35" s="420">
        <f t="shared" si="62"/>
        <v>303518.85</v>
      </c>
      <c r="V35" s="420">
        <f t="shared" si="62"/>
        <v>0</v>
      </c>
      <c r="W35" s="420">
        <f t="shared" si="62"/>
        <v>0</v>
      </c>
      <c r="X35" s="60">
        <f t="shared" si="62"/>
        <v>402899.13</v>
      </c>
      <c r="Y35" s="60">
        <f t="shared" si="62"/>
        <v>36188.44</v>
      </c>
      <c r="Z35" s="60">
        <f t="shared" si="62"/>
        <v>0</v>
      </c>
      <c r="AA35" s="60">
        <f t="shared" si="62"/>
        <v>1021937.9400000001</v>
      </c>
      <c r="AB35" s="60">
        <f t="shared" si="62"/>
        <v>36188.44</v>
      </c>
      <c r="AC35" s="60">
        <f t="shared" si="62"/>
        <v>0</v>
      </c>
      <c r="AD35" s="60">
        <f t="shared" si="62"/>
        <v>0</v>
      </c>
      <c r="AE35" s="60">
        <f t="shared" si="62"/>
        <v>0</v>
      </c>
      <c r="AF35" s="60">
        <f t="shared" si="62"/>
        <v>0</v>
      </c>
      <c r="AG35" s="60">
        <f t="shared" si="62"/>
        <v>0</v>
      </c>
      <c r="AH35" s="60">
        <f t="shared" si="62"/>
        <v>0</v>
      </c>
      <c r="AI35" s="60">
        <f t="shared" si="62"/>
        <v>0</v>
      </c>
      <c r="AJ35" s="60">
        <f t="shared" si="62"/>
        <v>0</v>
      </c>
      <c r="AK35" s="60">
        <f t="shared" si="62"/>
        <v>0</v>
      </c>
      <c r="AL35" s="62">
        <f t="shared" si="62"/>
        <v>0</v>
      </c>
      <c r="AM35" s="62">
        <f t="shared" si="62"/>
        <v>0</v>
      </c>
      <c r="AN35" s="62">
        <f t="shared" si="62"/>
        <v>0</v>
      </c>
      <c r="AO35" s="62">
        <f t="shared" si="62"/>
        <v>0</v>
      </c>
      <c r="AP35" s="60">
        <f t="shared" si="62"/>
        <v>0</v>
      </c>
      <c r="AQ35" s="60">
        <f aca="true" t="shared" si="63" ref="AQ35:BQ35">SUM(AQ26:AQ34)</f>
        <v>0</v>
      </c>
      <c r="AR35" s="60">
        <f t="shared" si="63"/>
        <v>0</v>
      </c>
      <c r="AS35" s="60">
        <f t="shared" si="63"/>
        <v>0</v>
      </c>
      <c r="AT35" s="60">
        <f t="shared" si="63"/>
        <v>0</v>
      </c>
      <c r="AU35" s="60">
        <f t="shared" si="63"/>
        <v>0</v>
      </c>
      <c r="AV35" s="60">
        <f t="shared" si="63"/>
        <v>0</v>
      </c>
      <c r="AW35" s="60">
        <f t="shared" si="63"/>
        <v>0</v>
      </c>
      <c r="AX35" s="229">
        <f t="shared" si="63"/>
        <v>0</v>
      </c>
      <c r="AY35" s="60">
        <f t="shared" si="63"/>
        <v>0</v>
      </c>
      <c r="AZ35" s="60">
        <f t="shared" si="63"/>
        <v>0</v>
      </c>
      <c r="BA35" s="60">
        <f t="shared" si="63"/>
        <v>0</v>
      </c>
      <c r="BB35" s="60">
        <f t="shared" si="63"/>
        <v>0</v>
      </c>
      <c r="BC35" s="60">
        <f t="shared" si="63"/>
        <v>0</v>
      </c>
      <c r="BD35" s="60">
        <f t="shared" si="63"/>
        <v>0</v>
      </c>
      <c r="BE35" s="60">
        <f t="shared" si="63"/>
        <v>0</v>
      </c>
      <c r="BF35" s="60">
        <f t="shared" si="63"/>
        <v>0</v>
      </c>
      <c r="BG35" s="60">
        <f t="shared" si="63"/>
        <v>0</v>
      </c>
      <c r="BH35" s="60">
        <f t="shared" si="63"/>
        <v>0</v>
      </c>
      <c r="BI35" s="60">
        <f t="shared" si="63"/>
        <v>0</v>
      </c>
      <c r="BJ35" s="60">
        <f t="shared" si="63"/>
        <v>0</v>
      </c>
      <c r="BK35" s="60">
        <f t="shared" si="63"/>
        <v>0</v>
      </c>
      <c r="BL35" s="60">
        <f t="shared" si="63"/>
        <v>0</v>
      </c>
      <c r="BM35" s="60">
        <f t="shared" si="63"/>
        <v>0</v>
      </c>
      <c r="BN35" s="60">
        <f t="shared" si="63"/>
        <v>1021937.9400000001</v>
      </c>
      <c r="BO35" s="60">
        <f t="shared" si="63"/>
        <v>36188.44</v>
      </c>
      <c r="BP35" s="204">
        <f t="shared" si="63"/>
        <v>0</v>
      </c>
      <c r="BQ35" s="204">
        <f t="shared" si="63"/>
        <v>40479.57</v>
      </c>
      <c r="BR35" s="560">
        <f>BS26+BR27+BR29+BS30+BS31+BS32+BS33+BS34</f>
        <v>28253.619999999937</v>
      </c>
      <c r="BS35" s="561"/>
      <c r="BT35" s="500">
        <f t="shared" si="40"/>
        <v>340645.98000000004</v>
      </c>
    </row>
    <row r="36" spans="1:72" s="1" customFormat="1" ht="17.25" customHeight="1" thickBot="1">
      <c r="A36" s="554" t="s">
        <v>17</v>
      </c>
      <c r="B36" s="372" t="s">
        <v>23</v>
      </c>
      <c r="C36" s="163"/>
      <c r="D36" s="172"/>
      <c r="E36" s="58">
        <v>0</v>
      </c>
      <c r="F36" s="59">
        <v>0</v>
      </c>
      <c r="G36" s="203">
        <v>0</v>
      </c>
      <c r="H36" s="352"/>
      <c r="I36" s="148"/>
      <c r="J36" s="341"/>
      <c r="K36" s="174"/>
      <c r="L36" s="297">
        <f>I36+J36</f>
        <v>0</v>
      </c>
      <c r="M36" s="504"/>
      <c r="N36" s="297">
        <f>L36+M36</f>
        <v>0</v>
      </c>
      <c r="O36" s="525"/>
      <c r="P36" s="525"/>
      <c r="Q36" s="513"/>
      <c r="R36" s="415"/>
      <c r="S36" s="416"/>
      <c r="T36" s="417"/>
      <c r="U36" s="418"/>
      <c r="V36" s="416"/>
      <c r="W36" s="417"/>
      <c r="X36" s="32"/>
      <c r="Y36" s="33"/>
      <c r="Z36" s="35"/>
      <c r="AA36" s="58">
        <f aca="true" t="shared" si="64" ref="AA36:AC38">R36+U36+X36</f>
        <v>0</v>
      </c>
      <c r="AB36" s="59">
        <f t="shared" si="64"/>
        <v>0</v>
      </c>
      <c r="AC36" s="25">
        <f t="shared" si="64"/>
        <v>0</v>
      </c>
      <c r="AD36" s="32"/>
      <c r="AE36" s="34"/>
      <c r="AF36" s="15"/>
      <c r="AG36" s="32"/>
      <c r="AH36" s="34"/>
      <c r="AI36" s="35"/>
      <c r="AJ36" s="32"/>
      <c r="AK36" s="34"/>
      <c r="AL36" s="75"/>
      <c r="AM36" s="58">
        <f aca="true" t="shared" si="65" ref="AM36:AO38">AD36+AG36+AJ36</f>
        <v>0</v>
      </c>
      <c r="AN36" s="59">
        <f t="shared" si="65"/>
        <v>0</v>
      </c>
      <c r="AO36" s="88">
        <f t="shared" si="65"/>
        <v>0</v>
      </c>
      <c r="AP36" s="32"/>
      <c r="AQ36" s="34"/>
      <c r="AR36" s="15"/>
      <c r="AS36" s="32"/>
      <c r="AT36" s="34"/>
      <c r="AU36" s="15"/>
      <c r="AV36" s="32"/>
      <c r="AW36" s="35"/>
      <c r="AX36" s="127"/>
      <c r="AY36" s="32">
        <f aca="true" t="shared" si="66" ref="AY36:BA38">AP36+AS36+AV36</f>
        <v>0</v>
      </c>
      <c r="AZ36" s="33">
        <f t="shared" si="66"/>
        <v>0</v>
      </c>
      <c r="BA36" s="34">
        <f t="shared" si="66"/>
        <v>0</v>
      </c>
      <c r="BB36" s="33"/>
      <c r="BC36" s="34"/>
      <c r="BD36" s="75"/>
      <c r="BE36" s="32"/>
      <c r="BF36" s="34"/>
      <c r="BG36" s="15"/>
      <c r="BH36" s="121"/>
      <c r="BI36" s="34"/>
      <c r="BJ36" s="75"/>
      <c r="BK36" s="32">
        <f aca="true" t="shared" si="67" ref="BK36:BM38">BB36+BE36+BH36</f>
        <v>0</v>
      </c>
      <c r="BL36" s="33">
        <f t="shared" si="67"/>
        <v>0</v>
      </c>
      <c r="BM36" s="34">
        <f t="shared" si="67"/>
        <v>0</v>
      </c>
      <c r="BN36" s="58">
        <f aca="true" t="shared" si="68" ref="BN36:BP38">AA36+AM36+AY36+BK36</f>
        <v>0</v>
      </c>
      <c r="BO36" s="59">
        <f t="shared" si="68"/>
        <v>0</v>
      </c>
      <c r="BP36" s="203">
        <f t="shared" si="68"/>
        <v>0</v>
      </c>
      <c r="BQ36" s="111"/>
      <c r="BR36" s="143"/>
      <c r="BS36" s="491"/>
      <c r="BT36" s="226">
        <f t="shared" si="40"/>
        <v>0</v>
      </c>
    </row>
    <row r="37" spans="1:72" s="1" customFormat="1" ht="17.25" customHeight="1" thickBot="1">
      <c r="A37" s="555"/>
      <c r="B37" s="372" t="s">
        <v>22</v>
      </c>
      <c r="C37" s="127"/>
      <c r="D37" s="297">
        <v>33210</v>
      </c>
      <c r="E37" s="58">
        <v>41085.06</v>
      </c>
      <c r="F37" s="59">
        <v>32766.17</v>
      </c>
      <c r="G37" s="203">
        <v>33710</v>
      </c>
      <c r="H37" s="43">
        <v>-443.83000000000175</v>
      </c>
      <c r="I37" s="148">
        <v>3000</v>
      </c>
      <c r="J37" s="341">
        <v>3000</v>
      </c>
      <c r="K37" s="174">
        <v>3000</v>
      </c>
      <c r="L37" s="297">
        <f>SUM(I37:K37)</f>
        <v>9000</v>
      </c>
      <c r="M37" s="504">
        <v>3000</v>
      </c>
      <c r="N37" s="297">
        <f>L37+M37</f>
        <v>12000</v>
      </c>
      <c r="O37" s="525">
        <v>25150</v>
      </c>
      <c r="P37" s="525">
        <f>N37+O37</f>
        <v>37150</v>
      </c>
      <c r="Q37" s="513">
        <v>7355.52</v>
      </c>
      <c r="R37" s="415">
        <v>1968.97</v>
      </c>
      <c r="S37" s="416"/>
      <c r="T37" s="417">
        <v>10111.91</v>
      </c>
      <c r="U37" s="418">
        <v>2712</v>
      </c>
      <c r="V37" s="416"/>
      <c r="W37" s="417">
        <v>3500.34</v>
      </c>
      <c r="X37" s="32">
        <v>1333.19</v>
      </c>
      <c r="Y37" s="33"/>
      <c r="Z37" s="35">
        <f>4571.96+5.79</f>
        <v>4577.75</v>
      </c>
      <c r="AA37" s="58">
        <f t="shared" si="64"/>
        <v>6014.16</v>
      </c>
      <c r="AB37" s="59">
        <f t="shared" si="64"/>
        <v>0</v>
      </c>
      <c r="AC37" s="25">
        <f t="shared" si="64"/>
        <v>18190</v>
      </c>
      <c r="AD37" s="32"/>
      <c r="AE37" s="34"/>
      <c r="AF37" s="15"/>
      <c r="AG37" s="32"/>
      <c r="AH37" s="34"/>
      <c r="AI37" s="35"/>
      <c r="AJ37" s="32"/>
      <c r="AK37" s="34"/>
      <c r="AL37" s="75"/>
      <c r="AM37" s="58">
        <f t="shared" si="65"/>
        <v>0</v>
      </c>
      <c r="AN37" s="59">
        <f t="shared" si="65"/>
        <v>0</v>
      </c>
      <c r="AO37" s="88">
        <f t="shared" si="65"/>
        <v>0</v>
      </c>
      <c r="AP37" s="32"/>
      <c r="AQ37" s="34"/>
      <c r="AR37" s="15"/>
      <c r="AS37" s="32"/>
      <c r="AT37" s="34"/>
      <c r="AU37" s="15"/>
      <c r="AV37" s="32"/>
      <c r="AW37" s="35"/>
      <c r="AX37" s="127"/>
      <c r="AY37" s="32">
        <f t="shared" si="66"/>
        <v>0</v>
      </c>
      <c r="AZ37" s="33">
        <f t="shared" si="66"/>
        <v>0</v>
      </c>
      <c r="BA37" s="34">
        <f t="shared" si="66"/>
        <v>0</v>
      </c>
      <c r="BB37" s="33"/>
      <c r="BC37" s="34"/>
      <c r="BD37" s="75"/>
      <c r="BE37" s="32"/>
      <c r="BF37" s="34"/>
      <c r="BG37" s="15"/>
      <c r="BH37" s="121"/>
      <c r="BI37" s="34"/>
      <c r="BJ37" s="75"/>
      <c r="BK37" s="32">
        <f t="shared" si="67"/>
        <v>0</v>
      </c>
      <c r="BL37" s="33">
        <f t="shared" si="67"/>
        <v>0</v>
      </c>
      <c r="BM37" s="34">
        <f t="shared" si="67"/>
        <v>0</v>
      </c>
      <c r="BN37" s="58">
        <f t="shared" si="68"/>
        <v>6014.16</v>
      </c>
      <c r="BO37" s="59">
        <f t="shared" si="68"/>
        <v>0</v>
      </c>
      <c r="BP37" s="203">
        <f t="shared" si="68"/>
        <v>18190</v>
      </c>
      <c r="BQ37" s="214">
        <f>Q37+BO37-BN37</f>
        <v>1341.3600000000006</v>
      </c>
      <c r="BR37" s="138">
        <f>L37-BO37</f>
        <v>9000</v>
      </c>
      <c r="BS37" s="486"/>
      <c r="BT37" s="135">
        <f t="shared" si="40"/>
        <v>2004.72</v>
      </c>
    </row>
    <row r="38" spans="1:72" s="1" customFormat="1" ht="17.25" customHeight="1" thickBot="1">
      <c r="A38" s="555"/>
      <c r="B38" s="373" t="s">
        <v>24</v>
      </c>
      <c r="C38" s="154"/>
      <c r="D38" s="297">
        <v>1060</v>
      </c>
      <c r="E38" s="58">
        <v>1024.89</v>
      </c>
      <c r="F38" s="59">
        <v>637.65</v>
      </c>
      <c r="G38" s="203">
        <v>0</v>
      </c>
      <c r="H38" s="43">
        <v>-422.35</v>
      </c>
      <c r="I38" s="148">
        <v>1000</v>
      </c>
      <c r="J38" s="341">
        <v>0</v>
      </c>
      <c r="K38" s="174">
        <v>0</v>
      </c>
      <c r="L38" s="297">
        <f>SUM(I38:K38)</f>
        <v>1000</v>
      </c>
      <c r="M38" s="504">
        <v>0</v>
      </c>
      <c r="N38" s="297">
        <f>L38+M38</f>
        <v>1000</v>
      </c>
      <c r="O38" s="525">
        <v>0</v>
      </c>
      <c r="P38" s="525">
        <f>N38+O38</f>
        <v>1000</v>
      </c>
      <c r="Q38" s="513">
        <v>641.61</v>
      </c>
      <c r="R38" s="415">
        <v>2.16</v>
      </c>
      <c r="S38" s="416"/>
      <c r="T38" s="417"/>
      <c r="U38" s="418">
        <v>40.09</v>
      </c>
      <c r="V38" s="416">
        <v>215.82</v>
      </c>
      <c r="W38" s="417"/>
      <c r="X38" s="32">
        <v>9.22</v>
      </c>
      <c r="Y38" s="33"/>
      <c r="Z38" s="35"/>
      <c r="AA38" s="58">
        <f t="shared" si="64"/>
        <v>51.47</v>
      </c>
      <c r="AB38" s="59">
        <f t="shared" si="64"/>
        <v>215.82</v>
      </c>
      <c r="AC38" s="25">
        <f t="shared" si="64"/>
        <v>0</v>
      </c>
      <c r="AD38" s="32"/>
      <c r="AE38" s="34"/>
      <c r="AF38" s="15"/>
      <c r="AG38" s="32"/>
      <c r="AH38" s="34"/>
      <c r="AI38" s="35"/>
      <c r="AJ38" s="32"/>
      <c r="AK38" s="34"/>
      <c r="AL38" s="75"/>
      <c r="AM38" s="58">
        <f t="shared" si="65"/>
        <v>0</v>
      </c>
      <c r="AN38" s="59">
        <f t="shared" si="65"/>
        <v>0</v>
      </c>
      <c r="AO38" s="88">
        <f t="shared" si="65"/>
        <v>0</v>
      </c>
      <c r="AP38" s="32"/>
      <c r="AQ38" s="34"/>
      <c r="AR38" s="15"/>
      <c r="AS38" s="32"/>
      <c r="AT38" s="34"/>
      <c r="AU38" s="15"/>
      <c r="AV38" s="32"/>
      <c r="AW38" s="35"/>
      <c r="AX38" s="127"/>
      <c r="AY38" s="32">
        <f t="shared" si="66"/>
        <v>0</v>
      </c>
      <c r="AZ38" s="33">
        <f t="shared" si="66"/>
        <v>0</v>
      </c>
      <c r="BA38" s="34">
        <f t="shared" si="66"/>
        <v>0</v>
      </c>
      <c r="BB38" s="33"/>
      <c r="BC38" s="34"/>
      <c r="BD38" s="75"/>
      <c r="BE38" s="32"/>
      <c r="BF38" s="34"/>
      <c r="BG38" s="15"/>
      <c r="BH38" s="121"/>
      <c r="BI38" s="34"/>
      <c r="BJ38" s="75"/>
      <c r="BK38" s="32">
        <f t="shared" si="67"/>
        <v>0</v>
      </c>
      <c r="BL38" s="33">
        <f t="shared" si="67"/>
        <v>0</v>
      </c>
      <c r="BM38" s="34">
        <f t="shared" si="67"/>
        <v>0</v>
      </c>
      <c r="BN38" s="58">
        <f t="shared" si="68"/>
        <v>51.47</v>
      </c>
      <c r="BO38" s="59">
        <f t="shared" si="68"/>
        <v>215.82</v>
      </c>
      <c r="BP38" s="203">
        <f t="shared" si="68"/>
        <v>0</v>
      </c>
      <c r="BQ38" s="214">
        <f>Q38+BO38-BN38</f>
        <v>805.96</v>
      </c>
      <c r="BR38" s="138">
        <f>L38-BO38</f>
        <v>784.1800000000001</v>
      </c>
      <c r="BS38" s="490"/>
      <c r="BT38" s="225">
        <f t="shared" si="40"/>
        <v>17.156666666666666</v>
      </c>
    </row>
    <row r="39" spans="1:72" s="1" customFormat="1" ht="19.5" customHeight="1" thickBot="1">
      <c r="A39" s="540" t="s">
        <v>18</v>
      </c>
      <c r="B39" s="541"/>
      <c r="C39" s="367"/>
      <c r="D39" s="173">
        <v>34270</v>
      </c>
      <c r="E39" s="60">
        <v>42109.95</v>
      </c>
      <c r="F39" s="60">
        <v>33403.82</v>
      </c>
      <c r="G39" s="204">
        <v>33710</v>
      </c>
      <c r="H39" s="354">
        <v>-866.1800000000018</v>
      </c>
      <c r="I39" s="329">
        <f aca="true" t="shared" si="69" ref="I39:N39">SUM(I37:I38)</f>
        <v>4000</v>
      </c>
      <c r="J39" s="329">
        <f t="shared" si="69"/>
        <v>3000</v>
      </c>
      <c r="K39" s="329">
        <f t="shared" si="69"/>
        <v>3000</v>
      </c>
      <c r="L39" s="298">
        <f t="shared" si="69"/>
        <v>10000</v>
      </c>
      <c r="M39" s="505">
        <f t="shared" si="69"/>
        <v>3000</v>
      </c>
      <c r="N39" s="505">
        <f t="shared" si="69"/>
        <v>13000</v>
      </c>
      <c r="O39" s="505">
        <f>SUM(O37:O38)</f>
        <v>25150</v>
      </c>
      <c r="P39" s="505">
        <f>SUM(P37:P38)</f>
        <v>38150</v>
      </c>
      <c r="Q39" s="229">
        <f aca="true" t="shared" si="70" ref="Q39:AV39">Q37+Q38</f>
        <v>7997.13</v>
      </c>
      <c r="R39" s="419">
        <f t="shared" si="70"/>
        <v>1971.13</v>
      </c>
      <c r="S39" s="420">
        <f t="shared" si="70"/>
        <v>0</v>
      </c>
      <c r="T39" s="420">
        <f t="shared" si="70"/>
        <v>10111.91</v>
      </c>
      <c r="U39" s="420">
        <f t="shared" si="70"/>
        <v>2752.09</v>
      </c>
      <c r="V39" s="420">
        <f t="shared" si="70"/>
        <v>215.82</v>
      </c>
      <c r="W39" s="420">
        <f t="shared" si="70"/>
        <v>3500.34</v>
      </c>
      <c r="X39" s="60">
        <f t="shared" si="70"/>
        <v>1342.41</v>
      </c>
      <c r="Y39" s="60">
        <f t="shared" si="70"/>
        <v>0</v>
      </c>
      <c r="Z39" s="60">
        <f t="shared" si="70"/>
        <v>4577.75</v>
      </c>
      <c r="AA39" s="60">
        <f t="shared" si="70"/>
        <v>6065.63</v>
      </c>
      <c r="AB39" s="60">
        <f t="shared" si="70"/>
        <v>215.82</v>
      </c>
      <c r="AC39" s="60">
        <f t="shared" si="70"/>
        <v>18190</v>
      </c>
      <c r="AD39" s="60">
        <f t="shared" si="70"/>
        <v>0</v>
      </c>
      <c r="AE39" s="60">
        <f t="shared" si="70"/>
        <v>0</v>
      </c>
      <c r="AF39" s="60">
        <f t="shared" si="70"/>
        <v>0</v>
      </c>
      <c r="AG39" s="60">
        <f t="shared" si="70"/>
        <v>0</v>
      </c>
      <c r="AH39" s="60">
        <f t="shared" si="70"/>
        <v>0</v>
      </c>
      <c r="AI39" s="60">
        <f t="shared" si="70"/>
        <v>0</v>
      </c>
      <c r="AJ39" s="60">
        <f t="shared" si="70"/>
        <v>0</v>
      </c>
      <c r="AK39" s="60">
        <f t="shared" si="70"/>
        <v>0</v>
      </c>
      <c r="AL39" s="62">
        <f t="shared" si="70"/>
        <v>0</v>
      </c>
      <c r="AM39" s="62">
        <f t="shared" si="70"/>
        <v>0</v>
      </c>
      <c r="AN39" s="62">
        <f t="shared" si="70"/>
        <v>0</v>
      </c>
      <c r="AO39" s="62">
        <f t="shared" si="70"/>
        <v>0</v>
      </c>
      <c r="AP39" s="60">
        <f t="shared" si="70"/>
        <v>0</v>
      </c>
      <c r="AQ39" s="60">
        <f t="shared" si="70"/>
        <v>0</v>
      </c>
      <c r="AR39" s="60">
        <f t="shared" si="70"/>
        <v>0</v>
      </c>
      <c r="AS39" s="60">
        <f t="shared" si="70"/>
        <v>0</v>
      </c>
      <c r="AT39" s="60">
        <f t="shared" si="70"/>
        <v>0</v>
      </c>
      <c r="AU39" s="60">
        <f t="shared" si="70"/>
        <v>0</v>
      </c>
      <c r="AV39" s="60">
        <f t="shared" si="70"/>
        <v>0</v>
      </c>
      <c r="AW39" s="60">
        <f aca="true" t="shared" si="71" ref="AW39:BR39">AW37+AW38</f>
        <v>0</v>
      </c>
      <c r="AX39" s="229">
        <f t="shared" si="71"/>
        <v>0</v>
      </c>
      <c r="AY39" s="60">
        <f t="shared" si="71"/>
        <v>0</v>
      </c>
      <c r="AZ39" s="60">
        <f t="shared" si="71"/>
        <v>0</v>
      </c>
      <c r="BA39" s="60">
        <f t="shared" si="71"/>
        <v>0</v>
      </c>
      <c r="BB39" s="60">
        <f t="shared" si="71"/>
        <v>0</v>
      </c>
      <c r="BC39" s="60">
        <f t="shared" si="71"/>
        <v>0</v>
      </c>
      <c r="BD39" s="60">
        <f t="shared" si="71"/>
        <v>0</v>
      </c>
      <c r="BE39" s="60">
        <f t="shared" si="71"/>
        <v>0</v>
      </c>
      <c r="BF39" s="60">
        <f t="shared" si="71"/>
        <v>0</v>
      </c>
      <c r="BG39" s="60">
        <f t="shared" si="71"/>
        <v>0</v>
      </c>
      <c r="BH39" s="60">
        <f t="shared" si="71"/>
        <v>0</v>
      </c>
      <c r="BI39" s="60">
        <f t="shared" si="71"/>
        <v>0</v>
      </c>
      <c r="BJ39" s="60">
        <f t="shared" si="71"/>
        <v>0</v>
      </c>
      <c r="BK39" s="60">
        <f t="shared" si="71"/>
        <v>0</v>
      </c>
      <c r="BL39" s="60">
        <f t="shared" si="71"/>
        <v>0</v>
      </c>
      <c r="BM39" s="60">
        <f t="shared" si="71"/>
        <v>0</v>
      </c>
      <c r="BN39" s="60">
        <f t="shared" si="71"/>
        <v>6065.63</v>
      </c>
      <c r="BO39" s="60">
        <f t="shared" si="71"/>
        <v>215.82</v>
      </c>
      <c r="BP39" s="204">
        <f t="shared" si="71"/>
        <v>18190</v>
      </c>
      <c r="BQ39" s="204">
        <f t="shared" si="71"/>
        <v>2147.3200000000006</v>
      </c>
      <c r="BR39" s="186">
        <f t="shared" si="71"/>
        <v>9784.18</v>
      </c>
      <c r="BS39" s="495"/>
      <c r="BT39" s="500">
        <f t="shared" si="40"/>
        <v>2021.8766666666668</v>
      </c>
    </row>
    <row r="40" spans="1:72" s="1" customFormat="1" ht="21.75" customHeight="1" thickBot="1">
      <c r="A40" s="540" t="s">
        <v>25</v>
      </c>
      <c r="B40" s="541"/>
      <c r="C40" s="366"/>
      <c r="D40" s="298">
        <v>583450</v>
      </c>
      <c r="E40" s="69">
        <v>600319.25</v>
      </c>
      <c r="F40" s="70">
        <v>0</v>
      </c>
      <c r="G40" s="205">
        <v>0</v>
      </c>
      <c r="H40" s="313">
        <v>16869.25</v>
      </c>
      <c r="I40" s="330">
        <v>49000</v>
      </c>
      <c r="J40" s="342">
        <v>49000</v>
      </c>
      <c r="K40" s="468">
        <v>52130</v>
      </c>
      <c r="L40" s="389">
        <f>SUM(I40:K40)</f>
        <v>150130</v>
      </c>
      <c r="M40" s="506">
        <v>50000</v>
      </c>
      <c r="N40" s="390">
        <f>L40+M40</f>
        <v>200130</v>
      </c>
      <c r="O40" s="527">
        <v>274990</v>
      </c>
      <c r="P40" s="527">
        <f>N40+O40</f>
        <v>475120</v>
      </c>
      <c r="Q40" s="516"/>
      <c r="R40" s="423">
        <v>41846.71</v>
      </c>
      <c r="S40" s="424"/>
      <c r="T40" s="425"/>
      <c r="U40" s="426">
        <v>74244.68</v>
      </c>
      <c r="V40" s="424"/>
      <c r="W40" s="425"/>
      <c r="X40" s="49">
        <v>50470.54</v>
      </c>
      <c r="Y40" s="48"/>
      <c r="Z40" s="47"/>
      <c r="AA40" s="69">
        <f aca="true" t="shared" si="72" ref="AA40:AC44">R40+U40+X40</f>
        <v>166561.93</v>
      </c>
      <c r="AB40" s="70">
        <f t="shared" si="72"/>
        <v>0</v>
      </c>
      <c r="AC40" s="71">
        <f t="shared" si="72"/>
        <v>0</v>
      </c>
      <c r="AD40" s="49"/>
      <c r="AE40" s="53"/>
      <c r="AF40" s="19"/>
      <c r="AG40" s="49"/>
      <c r="AH40" s="53"/>
      <c r="AI40" s="47"/>
      <c r="AJ40" s="49"/>
      <c r="AK40" s="53"/>
      <c r="AL40" s="76"/>
      <c r="AM40" s="63">
        <f aca="true" t="shared" si="73" ref="AM40:AO44">AD40+AG40+AJ40</f>
        <v>0</v>
      </c>
      <c r="AN40" s="64">
        <f t="shared" si="73"/>
        <v>0</v>
      </c>
      <c r="AO40" s="90">
        <f t="shared" si="73"/>
        <v>0</v>
      </c>
      <c r="AP40" s="49"/>
      <c r="AQ40" s="53"/>
      <c r="AR40" s="19"/>
      <c r="AS40" s="49"/>
      <c r="AT40" s="53"/>
      <c r="AU40" s="19"/>
      <c r="AV40" s="49"/>
      <c r="AW40" s="47"/>
      <c r="AX40" s="231"/>
      <c r="AY40" s="124">
        <f aca="true" t="shared" si="74" ref="AY40:BA44">AP40+AS40+AV40</f>
        <v>0</v>
      </c>
      <c r="AZ40" s="125">
        <f t="shared" si="74"/>
        <v>0</v>
      </c>
      <c r="BA40" s="126">
        <f t="shared" si="74"/>
        <v>0</v>
      </c>
      <c r="BB40" s="48"/>
      <c r="BC40" s="53"/>
      <c r="BD40" s="76"/>
      <c r="BE40" s="49"/>
      <c r="BF40" s="53"/>
      <c r="BG40" s="19"/>
      <c r="BH40" s="122"/>
      <c r="BI40" s="53"/>
      <c r="BJ40" s="76"/>
      <c r="BK40" s="124">
        <f aca="true" t="shared" si="75" ref="BK40:BM44">BB40+BE40+BH40</f>
        <v>0</v>
      </c>
      <c r="BL40" s="125">
        <f t="shared" si="75"/>
        <v>0</v>
      </c>
      <c r="BM40" s="126">
        <f t="shared" si="75"/>
        <v>0</v>
      </c>
      <c r="BN40" s="69">
        <f aca="true" t="shared" si="76" ref="BN40:BP44">AA40+AM40+AY40+BK40</f>
        <v>166561.93</v>
      </c>
      <c r="BO40" s="70">
        <f t="shared" si="76"/>
        <v>0</v>
      </c>
      <c r="BP40" s="205">
        <f t="shared" si="76"/>
        <v>0</v>
      </c>
      <c r="BQ40" s="215"/>
      <c r="BR40" s="144"/>
      <c r="BS40" s="496">
        <f>L40-BN40</f>
        <v>-16431.929999999993</v>
      </c>
      <c r="BT40" s="500">
        <f t="shared" si="40"/>
        <v>55520.64333333333</v>
      </c>
    </row>
    <row r="41" spans="1:72" s="1" customFormat="1" ht="21" customHeight="1" thickBot="1">
      <c r="A41" s="546" t="s">
        <v>26</v>
      </c>
      <c r="B41" s="547"/>
      <c r="C41" s="366"/>
      <c r="D41" s="298">
        <v>180890</v>
      </c>
      <c r="E41" s="63">
        <v>297274.61</v>
      </c>
      <c r="F41" s="64">
        <v>180773.23</v>
      </c>
      <c r="G41" s="206">
        <v>230445.92</v>
      </c>
      <c r="H41" s="354">
        <v>-116.77000000001863</v>
      </c>
      <c r="I41" s="328">
        <v>16000</v>
      </c>
      <c r="J41" s="343">
        <v>16000</v>
      </c>
      <c r="K41" s="173">
        <v>25000</v>
      </c>
      <c r="L41" s="298">
        <f>SUM(I41:K41)</f>
        <v>57000</v>
      </c>
      <c r="M41" s="505">
        <v>19000</v>
      </c>
      <c r="N41" s="298">
        <f>L41+M41</f>
        <v>76000</v>
      </c>
      <c r="O41" s="526">
        <v>71000</v>
      </c>
      <c r="P41" s="526">
        <f>N41+O41</f>
        <v>147000</v>
      </c>
      <c r="Q41" s="228">
        <v>63881.63</v>
      </c>
      <c r="R41" s="423">
        <v>13397.19</v>
      </c>
      <c r="S41" s="424"/>
      <c r="T41" s="425">
        <v>28250</v>
      </c>
      <c r="U41" s="426">
        <v>15864.95</v>
      </c>
      <c r="V41" s="424">
        <v>15931.44</v>
      </c>
      <c r="W41" s="425">
        <v>31280.35</v>
      </c>
      <c r="X41" s="49">
        <v>27058.16</v>
      </c>
      <c r="Y41" s="48">
        <v>36046.3</v>
      </c>
      <c r="Z41" s="47">
        <f>22497.6+12.05</f>
        <v>22509.649999999998</v>
      </c>
      <c r="AA41" s="63">
        <f t="shared" si="72"/>
        <v>56320.3</v>
      </c>
      <c r="AB41" s="64">
        <f t="shared" si="72"/>
        <v>51977.740000000005</v>
      </c>
      <c r="AC41" s="65">
        <f t="shared" si="72"/>
        <v>82040</v>
      </c>
      <c r="AD41" s="49"/>
      <c r="AE41" s="53"/>
      <c r="AF41" s="19"/>
      <c r="AG41" s="49"/>
      <c r="AH41" s="53"/>
      <c r="AI41" s="47"/>
      <c r="AJ41" s="49"/>
      <c r="AK41" s="53"/>
      <c r="AL41" s="76"/>
      <c r="AM41" s="72">
        <f t="shared" si="73"/>
        <v>0</v>
      </c>
      <c r="AN41" s="73">
        <f t="shared" si="73"/>
        <v>0</v>
      </c>
      <c r="AO41" s="89">
        <f t="shared" si="73"/>
        <v>0</v>
      </c>
      <c r="AP41" s="49"/>
      <c r="AQ41" s="53"/>
      <c r="AR41" s="19"/>
      <c r="AS41" s="49"/>
      <c r="AT41" s="53"/>
      <c r="AU41" s="19"/>
      <c r="AV41" s="49"/>
      <c r="AW41" s="47"/>
      <c r="AX41" s="231"/>
      <c r="AY41" s="49">
        <f t="shared" si="74"/>
        <v>0</v>
      </c>
      <c r="AZ41" s="48">
        <f t="shared" si="74"/>
        <v>0</v>
      </c>
      <c r="BA41" s="53">
        <f t="shared" si="74"/>
        <v>0</v>
      </c>
      <c r="BB41" s="48"/>
      <c r="BC41" s="53"/>
      <c r="BD41" s="76"/>
      <c r="BE41" s="49"/>
      <c r="BF41" s="53"/>
      <c r="BG41" s="19"/>
      <c r="BH41" s="122"/>
      <c r="BI41" s="53"/>
      <c r="BJ41" s="76"/>
      <c r="BK41" s="49">
        <f t="shared" si="75"/>
        <v>0</v>
      </c>
      <c r="BL41" s="48">
        <f t="shared" si="75"/>
        <v>0</v>
      </c>
      <c r="BM41" s="53">
        <f t="shared" si="75"/>
        <v>0</v>
      </c>
      <c r="BN41" s="63">
        <f t="shared" si="76"/>
        <v>56320.3</v>
      </c>
      <c r="BO41" s="64">
        <f t="shared" si="76"/>
        <v>51977.740000000005</v>
      </c>
      <c r="BP41" s="206">
        <f t="shared" si="76"/>
        <v>82040</v>
      </c>
      <c r="BQ41" s="215">
        <f>Q41+BO41-BN41</f>
        <v>59539.06999999999</v>
      </c>
      <c r="BR41" s="145">
        <f>L41-BO41</f>
        <v>5022.259999999995</v>
      </c>
      <c r="BS41" s="497"/>
      <c r="BT41" s="500">
        <f t="shared" si="40"/>
        <v>18773.433333333334</v>
      </c>
    </row>
    <row r="42" spans="1:72" s="1" customFormat="1" ht="27" customHeight="1" thickBot="1">
      <c r="A42" s="548" t="s">
        <v>36</v>
      </c>
      <c r="B42" s="549"/>
      <c r="C42" s="164"/>
      <c r="D42" s="299">
        <v>1035045</v>
      </c>
      <c r="E42" s="251">
        <v>839256</v>
      </c>
      <c r="F42" s="252">
        <v>0</v>
      </c>
      <c r="G42" s="262">
        <v>858883.25</v>
      </c>
      <c r="H42" s="354">
        <v>-195789</v>
      </c>
      <c r="I42" s="330">
        <v>29172</v>
      </c>
      <c r="J42" s="342">
        <v>29172</v>
      </c>
      <c r="K42" s="100">
        <v>29172</v>
      </c>
      <c r="L42" s="298">
        <f>I42+J42+8976+K42+33660+94809</f>
        <v>224961</v>
      </c>
      <c r="M42" s="507">
        <v>33332</v>
      </c>
      <c r="N42" s="298">
        <f>L42+M42+64100</f>
        <v>322393</v>
      </c>
      <c r="O42" s="529">
        <f>233324-64100</f>
        <v>169224</v>
      </c>
      <c r="P42" s="529">
        <f>N42+O42</f>
        <v>491617</v>
      </c>
      <c r="Q42" s="517"/>
      <c r="R42" s="431">
        <v>67320</v>
      </c>
      <c r="S42" s="432"/>
      <c r="T42" s="433">
        <v>63954</v>
      </c>
      <c r="U42" s="434">
        <v>62832</v>
      </c>
      <c r="V42" s="435"/>
      <c r="W42" s="436">
        <v>50253</v>
      </c>
      <c r="X42" s="254">
        <v>94809</v>
      </c>
      <c r="Y42" s="255"/>
      <c r="Z42" s="256">
        <f>62832+17067</f>
        <v>79899</v>
      </c>
      <c r="AA42" s="251">
        <f t="shared" si="72"/>
        <v>224961</v>
      </c>
      <c r="AB42" s="252">
        <f t="shared" si="72"/>
        <v>0</v>
      </c>
      <c r="AC42" s="253">
        <f t="shared" si="72"/>
        <v>194106</v>
      </c>
      <c r="AD42" s="254"/>
      <c r="AE42" s="257"/>
      <c r="AF42" s="258"/>
      <c r="AG42" s="254"/>
      <c r="AH42" s="257"/>
      <c r="AI42" s="256"/>
      <c r="AJ42" s="254"/>
      <c r="AK42" s="257"/>
      <c r="AL42" s="259"/>
      <c r="AM42" s="251">
        <f t="shared" si="73"/>
        <v>0</v>
      </c>
      <c r="AN42" s="252">
        <f t="shared" si="73"/>
        <v>0</v>
      </c>
      <c r="AO42" s="260">
        <f t="shared" si="73"/>
        <v>0</v>
      </c>
      <c r="AP42" s="254"/>
      <c r="AQ42" s="257"/>
      <c r="AR42" s="258"/>
      <c r="AS42" s="254"/>
      <c r="AT42" s="257"/>
      <c r="AU42" s="258"/>
      <c r="AV42" s="254"/>
      <c r="AW42" s="256"/>
      <c r="AX42" s="306"/>
      <c r="AY42" s="254">
        <f t="shared" si="74"/>
        <v>0</v>
      </c>
      <c r="AZ42" s="255">
        <f t="shared" si="74"/>
        <v>0</v>
      </c>
      <c r="BA42" s="257">
        <f t="shared" si="74"/>
        <v>0</v>
      </c>
      <c r="BB42" s="255"/>
      <c r="BC42" s="257"/>
      <c r="BD42" s="259"/>
      <c r="BE42" s="254"/>
      <c r="BF42" s="257"/>
      <c r="BG42" s="258"/>
      <c r="BH42" s="261"/>
      <c r="BI42" s="257"/>
      <c r="BJ42" s="259"/>
      <c r="BK42" s="254">
        <f t="shared" si="75"/>
        <v>0</v>
      </c>
      <c r="BL42" s="255">
        <f t="shared" si="75"/>
        <v>0</v>
      </c>
      <c r="BM42" s="257">
        <f t="shared" si="75"/>
        <v>0</v>
      </c>
      <c r="BN42" s="251">
        <f t="shared" si="76"/>
        <v>224961</v>
      </c>
      <c r="BO42" s="252">
        <f t="shared" si="76"/>
        <v>0</v>
      </c>
      <c r="BP42" s="262">
        <f t="shared" si="76"/>
        <v>194106</v>
      </c>
      <c r="BQ42" s="263"/>
      <c r="BR42" s="264">
        <f>L42-BN42</f>
        <v>0</v>
      </c>
      <c r="BS42" s="498"/>
      <c r="BT42" s="500">
        <f t="shared" si="40"/>
        <v>74987</v>
      </c>
    </row>
    <row r="43" spans="1:72" s="1" customFormat="1" ht="27" customHeight="1" thickBot="1">
      <c r="A43" s="534" t="s">
        <v>33</v>
      </c>
      <c r="B43" s="535"/>
      <c r="C43" s="282"/>
      <c r="D43" s="277">
        <v>21750</v>
      </c>
      <c r="E43" s="278">
        <v>6264</v>
      </c>
      <c r="F43" s="279">
        <v>0</v>
      </c>
      <c r="G43" s="290">
        <v>0</v>
      </c>
      <c r="H43" s="293">
        <v>-15486</v>
      </c>
      <c r="I43" s="331">
        <v>2000</v>
      </c>
      <c r="J43" s="344">
        <v>2000</v>
      </c>
      <c r="K43" s="176">
        <v>3000</v>
      </c>
      <c r="L43" s="390">
        <f>SUM(I43:K43)</f>
        <v>7000</v>
      </c>
      <c r="M43" s="508">
        <v>2494</v>
      </c>
      <c r="N43" s="390">
        <f>L43+M43</f>
        <v>9494</v>
      </c>
      <c r="O43" s="530">
        <v>9286</v>
      </c>
      <c r="P43" s="530">
        <f>N43+O43</f>
        <v>18780</v>
      </c>
      <c r="Q43" s="514"/>
      <c r="R43" s="437">
        <v>2523</v>
      </c>
      <c r="S43" s="438"/>
      <c r="T43" s="439"/>
      <c r="U43" s="440">
        <v>1450</v>
      </c>
      <c r="V43" s="438"/>
      <c r="W43" s="439"/>
      <c r="X43" s="285">
        <v>2233</v>
      </c>
      <c r="Y43" s="284"/>
      <c r="Z43" s="281">
        <f>1450+553</f>
        <v>2003</v>
      </c>
      <c r="AA43" s="278">
        <f t="shared" si="72"/>
        <v>6206</v>
      </c>
      <c r="AB43" s="279">
        <f t="shared" si="72"/>
        <v>0</v>
      </c>
      <c r="AC43" s="280">
        <f t="shared" si="72"/>
        <v>2003</v>
      </c>
      <c r="AD43" s="285">
        <v>0</v>
      </c>
      <c r="AE43" s="286">
        <v>0</v>
      </c>
      <c r="AF43" s="287">
        <v>0</v>
      </c>
      <c r="AG43" s="285"/>
      <c r="AH43" s="286"/>
      <c r="AI43" s="281"/>
      <c r="AJ43" s="285"/>
      <c r="AK43" s="286"/>
      <c r="AL43" s="288"/>
      <c r="AM43" s="278">
        <f t="shared" si="73"/>
        <v>0</v>
      </c>
      <c r="AN43" s="279">
        <f t="shared" si="73"/>
        <v>0</v>
      </c>
      <c r="AO43" s="289">
        <f t="shared" si="73"/>
        <v>0</v>
      </c>
      <c r="AP43" s="285"/>
      <c r="AQ43" s="286"/>
      <c r="AR43" s="287"/>
      <c r="AS43" s="285"/>
      <c r="AT43" s="286"/>
      <c r="AU43" s="287"/>
      <c r="AV43" s="285"/>
      <c r="AW43" s="281"/>
      <c r="AX43" s="282"/>
      <c r="AY43" s="285">
        <f t="shared" si="74"/>
        <v>0</v>
      </c>
      <c r="AZ43" s="284">
        <f t="shared" si="74"/>
        <v>0</v>
      </c>
      <c r="BA43" s="286">
        <f t="shared" si="74"/>
        <v>0</v>
      </c>
      <c r="BB43" s="284"/>
      <c r="BC43" s="286"/>
      <c r="BD43" s="288"/>
      <c r="BE43" s="285"/>
      <c r="BF43" s="286"/>
      <c r="BG43" s="287"/>
      <c r="BH43" s="283"/>
      <c r="BI43" s="286"/>
      <c r="BJ43" s="288"/>
      <c r="BK43" s="285">
        <f t="shared" si="75"/>
        <v>0</v>
      </c>
      <c r="BL43" s="284">
        <f t="shared" si="75"/>
        <v>0</v>
      </c>
      <c r="BM43" s="286">
        <f t="shared" si="75"/>
        <v>0</v>
      </c>
      <c r="BN43" s="278">
        <f t="shared" si="76"/>
        <v>6206</v>
      </c>
      <c r="BO43" s="279">
        <f t="shared" si="76"/>
        <v>0</v>
      </c>
      <c r="BP43" s="290">
        <f t="shared" si="76"/>
        <v>2003</v>
      </c>
      <c r="BQ43" s="291"/>
      <c r="BR43" s="292">
        <f>L43-BN43</f>
        <v>794</v>
      </c>
      <c r="BS43" s="499"/>
      <c r="BT43" s="500">
        <f t="shared" si="40"/>
        <v>2068.6666666666665</v>
      </c>
    </row>
    <row r="44" spans="1:72" s="1" customFormat="1" ht="27" customHeight="1" thickBot="1">
      <c r="A44" s="542" t="s">
        <v>105</v>
      </c>
      <c r="B44" s="543"/>
      <c r="C44" s="165"/>
      <c r="D44" s="300">
        <v>10560</v>
      </c>
      <c r="E44" s="265">
        <v>6420</v>
      </c>
      <c r="F44" s="266">
        <v>0</v>
      </c>
      <c r="G44" s="275">
        <v>8220</v>
      </c>
      <c r="H44" s="358">
        <v>-4140</v>
      </c>
      <c r="I44" s="332">
        <v>1000</v>
      </c>
      <c r="J44" s="345">
        <v>1000</v>
      </c>
      <c r="K44" s="469">
        <v>0</v>
      </c>
      <c r="L44" s="390">
        <f>SUM(I44:K44)</f>
        <v>2000</v>
      </c>
      <c r="M44" s="509">
        <v>1200</v>
      </c>
      <c r="N44" s="296">
        <f>L44+M44+966</f>
        <v>4166</v>
      </c>
      <c r="O44" s="527">
        <f>2780-966</f>
        <v>1814</v>
      </c>
      <c r="P44" s="527">
        <f>N44+O44</f>
        <v>5980</v>
      </c>
      <c r="Q44" s="518"/>
      <c r="R44" s="441">
        <v>480</v>
      </c>
      <c r="S44" s="442"/>
      <c r="T44" s="443">
        <v>100</v>
      </c>
      <c r="U44" s="444">
        <v>1000</v>
      </c>
      <c r="V44" s="445"/>
      <c r="W44" s="446">
        <v>100</v>
      </c>
      <c r="X44" s="267">
        <v>520</v>
      </c>
      <c r="Y44" s="268"/>
      <c r="Z44" s="269">
        <v>60</v>
      </c>
      <c r="AA44" s="66">
        <f t="shared" si="72"/>
        <v>2000</v>
      </c>
      <c r="AB44" s="67">
        <f t="shared" si="72"/>
        <v>0</v>
      </c>
      <c r="AC44" s="68">
        <f t="shared" si="72"/>
        <v>260</v>
      </c>
      <c r="AD44" s="267"/>
      <c r="AE44" s="270"/>
      <c r="AF44" s="271"/>
      <c r="AG44" s="267"/>
      <c r="AH44" s="270"/>
      <c r="AI44" s="269"/>
      <c r="AJ44" s="267"/>
      <c r="AK44" s="270"/>
      <c r="AL44" s="272"/>
      <c r="AM44" s="265">
        <f t="shared" si="73"/>
        <v>0</v>
      </c>
      <c r="AN44" s="266">
        <f t="shared" si="73"/>
        <v>0</v>
      </c>
      <c r="AO44" s="273">
        <f t="shared" si="73"/>
        <v>0</v>
      </c>
      <c r="AP44" s="267"/>
      <c r="AQ44" s="270"/>
      <c r="AR44" s="271"/>
      <c r="AS44" s="267"/>
      <c r="AT44" s="270"/>
      <c r="AU44" s="271"/>
      <c r="AV44" s="267"/>
      <c r="AW44" s="269"/>
      <c r="AX44" s="307"/>
      <c r="AY44" s="267">
        <f t="shared" si="74"/>
        <v>0</v>
      </c>
      <c r="AZ44" s="268">
        <f t="shared" si="74"/>
        <v>0</v>
      </c>
      <c r="BA44" s="270">
        <f t="shared" si="74"/>
        <v>0</v>
      </c>
      <c r="BB44" s="268"/>
      <c r="BC44" s="270"/>
      <c r="BD44" s="272"/>
      <c r="BE44" s="267"/>
      <c r="BF44" s="270"/>
      <c r="BG44" s="271"/>
      <c r="BH44" s="274"/>
      <c r="BI44" s="270"/>
      <c r="BJ44" s="272"/>
      <c r="BK44" s="267">
        <f t="shared" si="75"/>
        <v>0</v>
      </c>
      <c r="BL44" s="268">
        <f t="shared" si="75"/>
        <v>0</v>
      </c>
      <c r="BM44" s="270">
        <f t="shared" si="75"/>
        <v>0</v>
      </c>
      <c r="BN44" s="265">
        <f t="shared" si="76"/>
        <v>2000</v>
      </c>
      <c r="BO44" s="266">
        <f t="shared" si="76"/>
        <v>0</v>
      </c>
      <c r="BP44" s="275">
        <f t="shared" si="76"/>
        <v>260</v>
      </c>
      <c r="BQ44" s="276"/>
      <c r="BR44" s="482">
        <f>L44-BN44</f>
        <v>0</v>
      </c>
      <c r="BS44" s="494"/>
      <c r="BT44" s="500">
        <f t="shared" si="40"/>
        <v>666.6666666666666</v>
      </c>
    </row>
    <row r="45" spans="1:72" s="1" customFormat="1" ht="21.75" customHeight="1" thickBot="1">
      <c r="A45" s="550" t="s">
        <v>104</v>
      </c>
      <c r="B45" s="551"/>
      <c r="C45" s="368"/>
      <c r="D45" s="176">
        <f aca="true" t="shared" si="77" ref="D45:AK45">D9+D14+D17+D21+D25+D35+D39+D40+D41</f>
        <v>95351850</v>
      </c>
      <c r="E45" s="222">
        <f t="shared" si="77"/>
        <v>93268139.75</v>
      </c>
      <c r="F45" s="222">
        <f t="shared" si="77"/>
        <v>33201425.32</v>
      </c>
      <c r="G45" s="222">
        <f t="shared" si="77"/>
        <v>29860448.19</v>
      </c>
      <c r="H45" s="99">
        <f t="shared" si="77"/>
        <v>1163305.6199999992</v>
      </c>
      <c r="I45" s="157">
        <f t="shared" si="77"/>
        <v>8397000</v>
      </c>
      <c r="J45" s="157">
        <f t="shared" si="77"/>
        <v>9447000</v>
      </c>
      <c r="K45" s="157">
        <f t="shared" si="77"/>
        <v>6173930</v>
      </c>
      <c r="L45" s="394">
        <f t="shared" si="77"/>
        <v>24017930</v>
      </c>
      <c r="M45" s="394">
        <f t="shared" si="77"/>
        <v>8673000</v>
      </c>
      <c r="N45" s="394">
        <f t="shared" si="77"/>
        <v>32690930</v>
      </c>
      <c r="O45" s="394">
        <f>O9+O14+O17+O21+O25+O35+O39+O40+O41</f>
        <v>50549000</v>
      </c>
      <c r="P45" s="394">
        <f>P9+P14+P17+P21+P25+P35+P39+P40+P41</f>
        <v>83239930</v>
      </c>
      <c r="Q45" s="399">
        <f t="shared" si="77"/>
        <v>6849292.9799999995</v>
      </c>
      <c r="R45" s="385">
        <f t="shared" si="77"/>
        <v>7282669.070000001</v>
      </c>
      <c r="S45" s="447">
        <f t="shared" si="77"/>
        <v>2393991.3</v>
      </c>
      <c r="T45" s="447">
        <f t="shared" si="77"/>
        <v>1615392.94</v>
      </c>
      <c r="U45" s="447">
        <f t="shared" si="77"/>
        <v>7159174.079999999</v>
      </c>
      <c r="V45" s="447">
        <f t="shared" si="77"/>
        <v>3045761.04</v>
      </c>
      <c r="W45" s="447">
        <f t="shared" si="77"/>
        <v>3870726.6100000003</v>
      </c>
      <c r="X45" s="222">
        <f t="shared" si="77"/>
        <v>8182984.51</v>
      </c>
      <c r="Y45" s="222">
        <f t="shared" si="77"/>
        <v>1932919.6500000001</v>
      </c>
      <c r="Z45" s="222">
        <f t="shared" si="77"/>
        <v>4080281.2</v>
      </c>
      <c r="AA45" s="222">
        <f t="shared" si="77"/>
        <v>22624827.66</v>
      </c>
      <c r="AB45" s="222">
        <f t="shared" si="77"/>
        <v>7372671.990000001</v>
      </c>
      <c r="AC45" s="222">
        <f t="shared" si="77"/>
        <v>9566400.75</v>
      </c>
      <c r="AD45" s="222">
        <f t="shared" si="77"/>
        <v>0</v>
      </c>
      <c r="AE45" s="222">
        <f t="shared" si="77"/>
        <v>0</v>
      </c>
      <c r="AF45" s="222">
        <f t="shared" si="77"/>
        <v>0</v>
      </c>
      <c r="AG45" s="222">
        <f t="shared" si="77"/>
        <v>0</v>
      </c>
      <c r="AH45" s="222">
        <f t="shared" si="77"/>
        <v>0</v>
      </c>
      <c r="AI45" s="222">
        <f t="shared" si="77"/>
        <v>0</v>
      </c>
      <c r="AJ45" s="222">
        <f t="shared" si="77"/>
        <v>0</v>
      </c>
      <c r="AK45" s="222">
        <f t="shared" si="77"/>
        <v>0</v>
      </c>
      <c r="AL45" s="222">
        <f aca="true" t="shared" si="78" ref="AL45:BS45">AL9+AL14+AL17+AL21+AL25+AL35+AL39+AL40+AL41</f>
        <v>0</v>
      </c>
      <c r="AM45" s="230">
        <f t="shared" si="78"/>
        <v>0</v>
      </c>
      <c r="AN45" s="230">
        <f t="shared" si="78"/>
        <v>0</v>
      </c>
      <c r="AO45" s="236">
        <f t="shared" si="78"/>
        <v>0</v>
      </c>
      <c r="AP45" s="222">
        <f t="shared" si="78"/>
        <v>0</v>
      </c>
      <c r="AQ45" s="222">
        <f t="shared" si="78"/>
        <v>0</v>
      </c>
      <c r="AR45" s="222">
        <f t="shared" si="78"/>
        <v>0</v>
      </c>
      <c r="AS45" s="222">
        <f t="shared" si="78"/>
        <v>0</v>
      </c>
      <c r="AT45" s="222">
        <f t="shared" si="78"/>
        <v>0</v>
      </c>
      <c r="AU45" s="222">
        <f t="shared" si="78"/>
        <v>0</v>
      </c>
      <c r="AV45" s="294">
        <f t="shared" si="78"/>
        <v>0</v>
      </c>
      <c r="AW45" s="294">
        <f t="shared" si="78"/>
        <v>0</v>
      </c>
      <c r="AX45" s="243">
        <f t="shared" si="78"/>
        <v>0</v>
      </c>
      <c r="AY45" s="222">
        <f t="shared" si="78"/>
        <v>0</v>
      </c>
      <c r="AZ45" s="222">
        <f t="shared" si="78"/>
        <v>0</v>
      </c>
      <c r="BA45" s="222">
        <f t="shared" si="78"/>
        <v>0</v>
      </c>
      <c r="BB45" s="222">
        <f t="shared" si="78"/>
        <v>0</v>
      </c>
      <c r="BC45" s="222">
        <f t="shared" si="78"/>
        <v>0</v>
      </c>
      <c r="BD45" s="222">
        <f t="shared" si="78"/>
        <v>0</v>
      </c>
      <c r="BE45" s="222">
        <f t="shared" si="78"/>
        <v>0</v>
      </c>
      <c r="BF45" s="222">
        <f t="shared" si="78"/>
        <v>0</v>
      </c>
      <c r="BG45" s="222">
        <f t="shared" si="78"/>
        <v>0</v>
      </c>
      <c r="BH45" s="222">
        <f t="shared" si="78"/>
        <v>0</v>
      </c>
      <c r="BI45" s="222">
        <f t="shared" si="78"/>
        <v>0</v>
      </c>
      <c r="BJ45" s="222">
        <f t="shared" si="78"/>
        <v>0</v>
      </c>
      <c r="BK45" s="222">
        <f t="shared" si="78"/>
        <v>0</v>
      </c>
      <c r="BL45" s="222">
        <f t="shared" si="78"/>
        <v>0</v>
      </c>
      <c r="BM45" s="222">
        <f t="shared" si="78"/>
        <v>0</v>
      </c>
      <c r="BN45" s="222">
        <f t="shared" si="78"/>
        <v>22629239.57</v>
      </c>
      <c r="BO45" s="222">
        <f t="shared" si="78"/>
        <v>7372671.990000001</v>
      </c>
      <c r="BP45" s="222">
        <f t="shared" si="78"/>
        <v>9566400.75</v>
      </c>
      <c r="BQ45" s="217">
        <f t="shared" si="78"/>
        <v>5975995.060000001</v>
      </c>
      <c r="BR45" s="99">
        <f t="shared" si="78"/>
        <v>2151573.0400000005</v>
      </c>
      <c r="BS45" s="157">
        <f t="shared" si="78"/>
        <v>15063.200000000012</v>
      </c>
      <c r="BT45" s="428"/>
    </row>
    <row r="46" spans="1:72" s="5" customFormat="1" ht="16.5" customHeight="1">
      <c r="A46" s="2" t="s">
        <v>19</v>
      </c>
      <c r="B46" s="381" t="s">
        <v>37</v>
      </c>
      <c r="C46" s="369"/>
      <c r="D46" s="155">
        <f aca="true" t="shared" si="79" ref="D46:K46">D9+D17+D25+D35+D39+D40</f>
        <v>73552240</v>
      </c>
      <c r="E46" s="195">
        <f t="shared" si="79"/>
        <v>73823539.17</v>
      </c>
      <c r="F46" s="195">
        <f t="shared" si="79"/>
        <v>17378709.54</v>
      </c>
      <c r="G46" s="207">
        <f t="shared" si="79"/>
        <v>16812605.900000002</v>
      </c>
      <c r="H46" s="151">
        <f t="shared" si="79"/>
        <v>1338069.3699999992</v>
      </c>
      <c r="I46" s="323">
        <f t="shared" si="79"/>
        <v>6574000</v>
      </c>
      <c r="J46" s="323">
        <f t="shared" si="79"/>
        <v>6598000</v>
      </c>
      <c r="K46" s="323">
        <f t="shared" si="79"/>
        <v>4332930</v>
      </c>
      <c r="L46" s="470">
        <f>L9+L17+L25+L35+L39+L40+1594580+16870+82620</f>
        <v>19199000</v>
      </c>
      <c r="M46" s="470">
        <f>M9+M17+M25+M35+M39+M40+1594580+16870+82620</f>
        <v>7530070</v>
      </c>
      <c r="N46" s="470">
        <f>N9+N17+N25+N35+N39+N40+1594580+16870+82620</f>
        <v>25035000</v>
      </c>
      <c r="O46" s="470">
        <f>O9+O17+O25+O35+O39+O40+1594580+16870+82620</f>
        <v>43264510</v>
      </c>
      <c r="P46" s="470">
        <f>P9+P17+P25+P35+P39+P40+1594580+16870+82620</f>
        <v>66605440</v>
      </c>
      <c r="Q46" s="519"/>
      <c r="R46" s="448">
        <f aca="true" t="shared" si="80" ref="R46:AW46">R9+R17+R25+R35+R39+R40</f>
        <v>5934834.790000001</v>
      </c>
      <c r="S46" s="449">
        <f t="shared" si="80"/>
        <v>1545180.55</v>
      </c>
      <c r="T46" s="449">
        <f t="shared" si="80"/>
        <v>118782.71</v>
      </c>
      <c r="U46" s="449">
        <f t="shared" si="80"/>
        <v>5619253.119999999</v>
      </c>
      <c r="V46" s="449">
        <f t="shared" si="80"/>
        <v>1319120.79</v>
      </c>
      <c r="W46" s="449">
        <f t="shared" si="80"/>
        <v>1977723.9100000001</v>
      </c>
      <c r="X46" s="169">
        <f t="shared" si="80"/>
        <v>6283068.71</v>
      </c>
      <c r="Y46" s="169">
        <f t="shared" si="80"/>
        <v>641512.0800000001</v>
      </c>
      <c r="Z46" s="169">
        <f t="shared" si="80"/>
        <v>2001307.4200000002</v>
      </c>
      <c r="AA46" s="169">
        <f t="shared" si="80"/>
        <v>17837156.619999997</v>
      </c>
      <c r="AB46" s="169">
        <f t="shared" si="80"/>
        <v>3505813.42</v>
      </c>
      <c r="AC46" s="169">
        <f t="shared" si="80"/>
        <v>4097814.0399999996</v>
      </c>
      <c r="AD46" s="169">
        <f t="shared" si="80"/>
        <v>0</v>
      </c>
      <c r="AE46" s="169">
        <f t="shared" si="80"/>
        <v>0</v>
      </c>
      <c r="AF46" s="169">
        <f t="shared" si="80"/>
        <v>0</v>
      </c>
      <c r="AG46" s="169">
        <f t="shared" si="80"/>
        <v>0</v>
      </c>
      <c r="AH46" s="169">
        <f t="shared" si="80"/>
        <v>0</v>
      </c>
      <c r="AI46" s="169">
        <f t="shared" si="80"/>
        <v>0</v>
      </c>
      <c r="AJ46" s="169">
        <f t="shared" si="80"/>
        <v>0</v>
      </c>
      <c r="AK46" s="169">
        <f t="shared" si="80"/>
        <v>0</v>
      </c>
      <c r="AL46" s="169">
        <f t="shared" si="80"/>
        <v>0</v>
      </c>
      <c r="AM46" s="169">
        <f t="shared" si="80"/>
        <v>0</v>
      </c>
      <c r="AN46" s="169">
        <f t="shared" si="80"/>
        <v>0</v>
      </c>
      <c r="AO46" s="237">
        <f t="shared" si="80"/>
        <v>0</v>
      </c>
      <c r="AP46" s="169">
        <f t="shared" si="80"/>
        <v>0</v>
      </c>
      <c r="AQ46" s="169">
        <f t="shared" si="80"/>
        <v>0</v>
      </c>
      <c r="AR46" s="169">
        <f t="shared" si="80"/>
        <v>0</v>
      </c>
      <c r="AS46" s="169">
        <f t="shared" si="80"/>
        <v>0</v>
      </c>
      <c r="AT46" s="169">
        <f t="shared" si="80"/>
        <v>0</v>
      </c>
      <c r="AU46" s="169">
        <f t="shared" si="80"/>
        <v>0</v>
      </c>
      <c r="AV46" s="207">
        <f t="shared" si="80"/>
        <v>0</v>
      </c>
      <c r="AW46" s="207">
        <f t="shared" si="80"/>
        <v>0</v>
      </c>
      <c r="AX46" s="244">
        <f aca="true" t="shared" si="81" ref="AX46:BS46">AX9+AX17+AX25+AX35+AX39+AX40</f>
        <v>0</v>
      </c>
      <c r="AY46" s="169">
        <f t="shared" si="81"/>
        <v>0</v>
      </c>
      <c r="AZ46" s="169">
        <f t="shared" si="81"/>
        <v>0</v>
      </c>
      <c r="BA46" s="169">
        <f t="shared" si="81"/>
        <v>0</v>
      </c>
      <c r="BB46" s="169">
        <f t="shared" si="81"/>
        <v>0</v>
      </c>
      <c r="BC46" s="169">
        <f t="shared" si="81"/>
        <v>0</v>
      </c>
      <c r="BD46" s="169">
        <f t="shared" si="81"/>
        <v>0</v>
      </c>
      <c r="BE46" s="169">
        <f t="shared" si="81"/>
        <v>0</v>
      </c>
      <c r="BF46" s="169">
        <f t="shared" si="81"/>
        <v>0</v>
      </c>
      <c r="BG46" s="169">
        <f t="shared" si="81"/>
        <v>0</v>
      </c>
      <c r="BH46" s="169">
        <f t="shared" si="81"/>
        <v>0</v>
      </c>
      <c r="BI46" s="169">
        <f t="shared" si="81"/>
        <v>0</v>
      </c>
      <c r="BJ46" s="169">
        <f t="shared" si="81"/>
        <v>0</v>
      </c>
      <c r="BK46" s="169">
        <f t="shared" si="81"/>
        <v>0</v>
      </c>
      <c r="BL46" s="169">
        <f t="shared" si="81"/>
        <v>0</v>
      </c>
      <c r="BM46" s="169">
        <f t="shared" si="81"/>
        <v>0</v>
      </c>
      <c r="BN46" s="195">
        <f t="shared" si="81"/>
        <v>17837156.619999997</v>
      </c>
      <c r="BO46" s="195">
        <f t="shared" si="81"/>
        <v>3505813.42</v>
      </c>
      <c r="BP46" s="207">
        <f t="shared" si="81"/>
        <v>4097814.0399999996</v>
      </c>
      <c r="BQ46" s="183">
        <f t="shared" si="81"/>
        <v>2654079.84</v>
      </c>
      <c r="BR46" s="151">
        <f t="shared" si="81"/>
        <v>484033.6900000005</v>
      </c>
      <c r="BS46" s="151">
        <f t="shared" si="81"/>
        <v>-16431.929999999993</v>
      </c>
      <c r="BT46" s="132"/>
    </row>
    <row r="47" spans="1:72" s="5" customFormat="1" ht="16.5" customHeight="1" thickBot="1">
      <c r="A47" s="7"/>
      <c r="B47" s="382" t="s">
        <v>20</v>
      </c>
      <c r="C47" s="370"/>
      <c r="D47" s="156">
        <f aca="true" t="shared" si="82" ref="D47:N47">D21+D41</f>
        <v>1958950</v>
      </c>
      <c r="E47" s="196">
        <f t="shared" si="82"/>
        <v>2064474.6099999999</v>
      </c>
      <c r="F47" s="196">
        <f t="shared" si="82"/>
        <v>180773.23</v>
      </c>
      <c r="G47" s="208">
        <f t="shared" si="82"/>
        <v>230445.92</v>
      </c>
      <c r="H47" s="152">
        <f t="shared" si="82"/>
        <v>-10976.770000000019</v>
      </c>
      <c r="I47" s="324">
        <f t="shared" si="82"/>
        <v>164000</v>
      </c>
      <c r="J47" s="324">
        <f t="shared" si="82"/>
        <v>164000</v>
      </c>
      <c r="K47" s="324">
        <f t="shared" si="82"/>
        <v>172000</v>
      </c>
      <c r="L47" s="471">
        <f t="shared" si="82"/>
        <v>500000</v>
      </c>
      <c r="M47" s="471">
        <f t="shared" si="82"/>
        <v>167000</v>
      </c>
      <c r="N47" s="471">
        <f t="shared" si="82"/>
        <v>667000</v>
      </c>
      <c r="O47" s="471">
        <f>O21+O41</f>
        <v>1180100</v>
      </c>
      <c r="P47" s="471">
        <f>P21+P41</f>
        <v>1847100</v>
      </c>
      <c r="Q47" s="520"/>
      <c r="R47" s="450">
        <f aca="true" t="shared" si="83" ref="R47:AW47">R21+R41</f>
        <v>143597.19</v>
      </c>
      <c r="S47" s="451">
        <f t="shared" si="83"/>
        <v>0</v>
      </c>
      <c r="T47" s="451">
        <f t="shared" si="83"/>
        <v>28250</v>
      </c>
      <c r="U47" s="451">
        <f t="shared" si="83"/>
        <v>154344.95</v>
      </c>
      <c r="V47" s="451">
        <f t="shared" si="83"/>
        <v>15931.44</v>
      </c>
      <c r="W47" s="451">
        <f t="shared" si="83"/>
        <v>31280.35</v>
      </c>
      <c r="X47" s="170">
        <f t="shared" si="83"/>
        <v>169883.03</v>
      </c>
      <c r="Y47" s="170">
        <f t="shared" si="83"/>
        <v>36046.3</v>
      </c>
      <c r="Z47" s="170">
        <f t="shared" si="83"/>
        <v>22509.649999999998</v>
      </c>
      <c r="AA47" s="170">
        <f t="shared" si="83"/>
        <v>467825.17</v>
      </c>
      <c r="AB47" s="170">
        <f t="shared" si="83"/>
        <v>51977.740000000005</v>
      </c>
      <c r="AC47" s="170">
        <f t="shared" si="83"/>
        <v>82040</v>
      </c>
      <c r="AD47" s="170">
        <f t="shared" si="83"/>
        <v>0</v>
      </c>
      <c r="AE47" s="170">
        <f t="shared" si="83"/>
        <v>0</v>
      </c>
      <c r="AF47" s="170">
        <f t="shared" si="83"/>
        <v>0</v>
      </c>
      <c r="AG47" s="170">
        <f t="shared" si="83"/>
        <v>0</v>
      </c>
      <c r="AH47" s="170">
        <f t="shared" si="83"/>
        <v>0</v>
      </c>
      <c r="AI47" s="170">
        <f t="shared" si="83"/>
        <v>0</v>
      </c>
      <c r="AJ47" s="170">
        <f t="shared" si="83"/>
        <v>0</v>
      </c>
      <c r="AK47" s="170">
        <f t="shared" si="83"/>
        <v>0</v>
      </c>
      <c r="AL47" s="170">
        <f t="shared" si="83"/>
        <v>0</v>
      </c>
      <c r="AM47" s="170">
        <f t="shared" si="83"/>
        <v>0</v>
      </c>
      <c r="AN47" s="170">
        <f t="shared" si="83"/>
        <v>0</v>
      </c>
      <c r="AO47" s="238">
        <f t="shared" si="83"/>
        <v>0</v>
      </c>
      <c r="AP47" s="170">
        <f t="shared" si="83"/>
        <v>0</v>
      </c>
      <c r="AQ47" s="170">
        <f t="shared" si="83"/>
        <v>0</v>
      </c>
      <c r="AR47" s="170">
        <f t="shared" si="83"/>
        <v>0</v>
      </c>
      <c r="AS47" s="170">
        <f t="shared" si="83"/>
        <v>0</v>
      </c>
      <c r="AT47" s="170">
        <f t="shared" si="83"/>
        <v>0</v>
      </c>
      <c r="AU47" s="170">
        <f t="shared" si="83"/>
        <v>0</v>
      </c>
      <c r="AV47" s="208">
        <f t="shared" si="83"/>
        <v>0</v>
      </c>
      <c r="AW47" s="208">
        <f t="shared" si="83"/>
        <v>0</v>
      </c>
      <c r="AX47" s="245">
        <f aca="true" t="shared" si="84" ref="AX47:BS47">AX21+AX41</f>
        <v>0</v>
      </c>
      <c r="AY47" s="170">
        <f t="shared" si="84"/>
        <v>0</v>
      </c>
      <c r="AZ47" s="170">
        <f t="shared" si="84"/>
        <v>0</v>
      </c>
      <c r="BA47" s="170">
        <f t="shared" si="84"/>
        <v>0</v>
      </c>
      <c r="BB47" s="170">
        <f t="shared" si="84"/>
        <v>0</v>
      </c>
      <c r="BC47" s="170">
        <f t="shared" si="84"/>
        <v>0</v>
      </c>
      <c r="BD47" s="170">
        <f t="shared" si="84"/>
        <v>0</v>
      </c>
      <c r="BE47" s="170">
        <f t="shared" si="84"/>
        <v>0</v>
      </c>
      <c r="BF47" s="170">
        <f t="shared" si="84"/>
        <v>0</v>
      </c>
      <c r="BG47" s="170">
        <f t="shared" si="84"/>
        <v>0</v>
      </c>
      <c r="BH47" s="170">
        <f t="shared" si="84"/>
        <v>0</v>
      </c>
      <c r="BI47" s="170">
        <f t="shared" si="84"/>
        <v>0</v>
      </c>
      <c r="BJ47" s="170">
        <f t="shared" si="84"/>
        <v>0</v>
      </c>
      <c r="BK47" s="170">
        <f t="shared" si="84"/>
        <v>0</v>
      </c>
      <c r="BL47" s="170">
        <f t="shared" si="84"/>
        <v>0</v>
      </c>
      <c r="BM47" s="170">
        <f t="shared" si="84"/>
        <v>0</v>
      </c>
      <c r="BN47" s="196">
        <f t="shared" si="84"/>
        <v>467825.17</v>
      </c>
      <c r="BO47" s="196">
        <f t="shared" si="84"/>
        <v>51977.740000000005</v>
      </c>
      <c r="BP47" s="208">
        <f t="shared" si="84"/>
        <v>82040</v>
      </c>
      <c r="BQ47" s="218">
        <f t="shared" si="84"/>
        <v>59539.06999999999</v>
      </c>
      <c r="BR47" s="152">
        <f t="shared" si="84"/>
        <v>5022.259999999995</v>
      </c>
      <c r="BS47" s="152">
        <f t="shared" si="84"/>
        <v>31495.130000000005</v>
      </c>
      <c r="BT47" s="132"/>
    </row>
    <row r="48" spans="1:72" s="5" customFormat="1" ht="15" customHeight="1" thickBot="1">
      <c r="A48" s="20" t="s">
        <v>19</v>
      </c>
      <c r="B48" s="21"/>
      <c r="C48" s="177"/>
      <c r="D48" s="177"/>
      <c r="E48" s="197"/>
      <c r="F48" s="197"/>
      <c r="G48" s="337"/>
      <c r="H48" s="311"/>
      <c r="I48" s="311">
        <f aca="true" t="shared" si="85" ref="I48:N48">I5+I12+I49</f>
        <v>3479000</v>
      </c>
      <c r="J48" s="311">
        <f t="shared" si="85"/>
        <v>4483000</v>
      </c>
      <c r="K48" s="311">
        <f t="shared" si="85"/>
        <v>2627420</v>
      </c>
      <c r="L48" s="472">
        <f t="shared" si="85"/>
        <v>10589420</v>
      </c>
      <c r="M48" s="472">
        <f t="shared" si="85"/>
        <v>3695670</v>
      </c>
      <c r="N48" s="472">
        <f t="shared" si="85"/>
        <v>14285090</v>
      </c>
      <c r="O48" s="472">
        <f>O5+O12+O49</f>
        <v>17107870</v>
      </c>
      <c r="P48" s="472">
        <f>P5+P12+P49</f>
        <v>31392960</v>
      </c>
      <c r="Q48" s="521"/>
      <c r="R48" s="452"/>
      <c r="S48" s="453"/>
      <c r="T48" s="453"/>
      <c r="U48" s="453"/>
      <c r="V48" s="453"/>
      <c r="W48" s="453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239"/>
      <c r="AP48" s="168"/>
      <c r="AQ48" s="168"/>
      <c r="AR48" s="168"/>
      <c r="AS48" s="168"/>
      <c r="AT48" s="168"/>
      <c r="AU48" s="168"/>
      <c r="AV48" s="128"/>
      <c r="AW48" s="128"/>
      <c r="AX48" s="246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97"/>
      <c r="BO48" s="197"/>
      <c r="BP48" s="337"/>
      <c r="BQ48" s="219">
        <f>BQ5+BQ12+BQ49</f>
        <v>5975995.0600000005</v>
      </c>
      <c r="BR48" s="153">
        <f>BR5+BR12+BR49</f>
        <v>3139748.0099999993</v>
      </c>
      <c r="BS48" s="153">
        <f>BS5+BS12+BS49</f>
        <v>0</v>
      </c>
      <c r="BT48" s="132"/>
    </row>
    <row r="49" spans="1:71" ht="18.75" customHeight="1" thickBot="1">
      <c r="A49" s="552" t="s">
        <v>72</v>
      </c>
      <c r="B49" s="553"/>
      <c r="C49" s="46"/>
      <c r="D49" s="46">
        <f>D7+D13+D15+D25+D27+D29+D39+D41</f>
        <v>15101210</v>
      </c>
      <c r="E49" s="198">
        <f>E7+E13+E15+E25+E27+E29+E39+E41</f>
        <v>13527519.04</v>
      </c>
      <c r="F49" s="198">
        <f>F7+F13+F15+F25+F27+F29+F39+F41</f>
        <v>14905044.25</v>
      </c>
      <c r="G49" s="209">
        <f>G7+G13+G15+G25+G27+G29+G39+G41</f>
        <v>14777013.74</v>
      </c>
      <c r="H49" s="78">
        <f>H7+H13+H15+H25+H27+H29+H39+H41</f>
        <v>-145134.81000000006</v>
      </c>
      <c r="I49" s="335">
        <f aca="true" t="shared" si="86" ref="I49:N49">I7+I13+I15+I25+I27+I28+I39+I41</f>
        <v>1879000</v>
      </c>
      <c r="J49" s="335">
        <f t="shared" si="86"/>
        <v>2203000</v>
      </c>
      <c r="K49" s="335">
        <f t="shared" si="86"/>
        <v>979000</v>
      </c>
      <c r="L49" s="473">
        <f t="shared" si="86"/>
        <v>5061000</v>
      </c>
      <c r="M49" s="473">
        <f t="shared" si="86"/>
        <v>659670</v>
      </c>
      <c r="N49" s="473">
        <f t="shared" si="86"/>
        <v>5720670</v>
      </c>
      <c r="O49" s="473">
        <f>O7+O13+O15+O25+O27+O28+O39+O41</f>
        <v>5134720</v>
      </c>
      <c r="P49" s="473">
        <f>P7+P13+P15+P25+P27+P28+P39+P41</f>
        <v>10855390</v>
      </c>
      <c r="Q49" s="522"/>
      <c r="R49" s="454">
        <f aca="true" t="shared" si="87" ref="R49:AW49">R7+R13+R15+R25+R27+R29+R39+R41</f>
        <v>847483.1299999999</v>
      </c>
      <c r="S49" s="455">
        <f t="shared" si="87"/>
        <v>766505.21</v>
      </c>
      <c r="T49" s="455">
        <f t="shared" si="87"/>
        <v>417702.07999999996</v>
      </c>
      <c r="U49" s="455">
        <f t="shared" si="87"/>
        <v>798401.1299999999</v>
      </c>
      <c r="V49" s="455">
        <f t="shared" si="87"/>
        <v>767935.1699999998</v>
      </c>
      <c r="W49" s="455">
        <f t="shared" si="87"/>
        <v>1551209.02</v>
      </c>
      <c r="X49" s="92">
        <f t="shared" si="87"/>
        <v>1112247.3499999996</v>
      </c>
      <c r="Y49" s="92">
        <f t="shared" si="87"/>
        <v>293699.19</v>
      </c>
      <c r="Z49" s="92">
        <f t="shared" si="87"/>
        <v>2065331.5199999998</v>
      </c>
      <c r="AA49" s="92">
        <f t="shared" si="87"/>
        <v>2758131.61</v>
      </c>
      <c r="AB49" s="92">
        <f t="shared" si="87"/>
        <v>1828139.5699999998</v>
      </c>
      <c r="AC49" s="92">
        <f t="shared" si="87"/>
        <v>4034242.6199999996</v>
      </c>
      <c r="AD49" s="92">
        <f t="shared" si="87"/>
        <v>0</v>
      </c>
      <c r="AE49" s="92">
        <f t="shared" si="87"/>
        <v>0</v>
      </c>
      <c r="AF49" s="92">
        <f t="shared" si="87"/>
        <v>0</v>
      </c>
      <c r="AG49" s="92">
        <f t="shared" si="87"/>
        <v>0</v>
      </c>
      <c r="AH49" s="92">
        <f t="shared" si="87"/>
        <v>0</v>
      </c>
      <c r="AI49" s="92">
        <f t="shared" si="87"/>
        <v>0</v>
      </c>
      <c r="AJ49" s="92">
        <f t="shared" si="87"/>
        <v>0</v>
      </c>
      <c r="AK49" s="92">
        <f t="shared" si="87"/>
        <v>0</v>
      </c>
      <c r="AL49" s="92">
        <f t="shared" si="87"/>
        <v>0</v>
      </c>
      <c r="AM49" s="92">
        <f t="shared" si="87"/>
        <v>0</v>
      </c>
      <c r="AN49" s="92">
        <f t="shared" si="87"/>
        <v>0</v>
      </c>
      <c r="AO49" s="167">
        <f t="shared" si="87"/>
        <v>0</v>
      </c>
      <c r="AP49" s="92">
        <f t="shared" si="87"/>
        <v>0</v>
      </c>
      <c r="AQ49" s="92">
        <f t="shared" si="87"/>
        <v>0</v>
      </c>
      <c r="AR49" s="92">
        <f t="shared" si="87"/>
        <v>0</v>
      </c>
      <c r="AS49" s="92">
        <f t="shared" si="87"/>
        <v>0</v>
      </c>
      <c r="AT49" s="92">
        <f t="shared" si="87"/>
        <v>0</v>
      </c>
      <c r="AU49" s="92">
        <f t="shared" si="87"/>
        <v>0</v>
      </c>
      <c r="AV49" s="209">
        <f t="shared" si="87"/>
        <v>0</v>
      </c>
      <c r="AW49" s="209">
        <f t="shared" si="87"/>
        <v>0</v>
      </c>
      <c r="AX49" s="247">
        <f aca="true" t="shared" si="88" ref="AX49:BS49">AX7+AX13+AX15+AX25+AX27+AX29+AX39+AX41</f>
        <v>0</v>
      </c>
      <c r="AY49" s="92">
        <f t="shared" si="88"/>
        <v>0</v>
      </c>
      <c r="AZ49" s="92">
        <f t="shared" si="88"/>
        <v>0</v>
      </c>
      <c r="BA49" s="92">
        <f t="shared" si="88"/>
        <v>0</v>
      </c>
      <c r="BB49" s="92">
        <f t="shared" si="88"/>
        <v>0</v>
      </c>
      <c r="BC49" s="92">
        <f t="shared" si="88"/>
        <v>0</v>
      </c>
      <c r="BD49" s="92">
        <f t="shared" si="88"/>
        <v>0</v>
      </c>
      <c r="BE49" s="92">
        <f t="shared" si="88"/>
        <v>0</v>
      </c>
      <c r="BF49" s="92">
        <f t="shared" si="88"/>
        <v>0</v>
      </c>
      <c r="BG49" s="92">
        <f t="shared" si="88"/>
        <v>0</v>
      </c>
      <c r="BH49" s="92">
        <f t="shared" si="88"/>
        <v>0</v>
      </c>
      <c r="BI49" s="92">
        <f t="shared" si="88"/>
        <v>0</v>
      </c>
      <c r="BJ49" s="92">
        <f t="shared" si="88"/>
        <v>0</v>
      </c>
      <c r="BK49" s="92">
        <f t="shared" si="88"/>
        <v>0</v>
      </c>
      <c r="BL49" s="92">
        <f t="shared" si="88"/>
        <v>0</v>
      </c>
      <c r="BM49" s="92">
        <f t="shared" si="88"/>
        <v>0</v>
      </c>
      <c r="BN49" s="198">
        <f t="shared" si="88"/>
        <v>2758131.61</v>
      </c>
      <c r="BO49" s="198">
        <f t="shared" si="88"/>
        <v>1828139.5699999998</v>
      </c>
      <c r="BP49" s="209">
        <f t="shared" si="88"/>
        <v>4034242.6199999996</v>
      </c>
      <c r="BQ49" s="209">
        <f t="shared" si="88"/>
        <v>3632029.5399999996</v>
      </c>
      <c r="BR49" s="46">
        <f t="shared" si="88"/>
        <v>3155860.4299999997</v>
      </c>
      <c r="BS49" s="46">
        <f t="shared" si="88"/>
        <v>0</v>
      </c>
    </row>
    <row r="50" spans="1:71" ht="18" customHeight="1" thickBot="1">
      <c r="A50" s="39" t="s">
        <v>38</v>
      </c>
      <c r="B50" s="360" t="s">
        <v>114</v>
      </c>
      <c r="C50" s="178">
        <f>C8+C10+C21+C26+C30+C31+C32+C33+C34+C40+C16</f>
        <v>0</v>
      </c>
      <c r="D50" s="178">
        <f>D8+D10+D21+D26+D30+D31+D32+D33+D34+D40+D16</f>
        <v>61258470</v>
      </c>
      <c r="E50" s="178">
        <f>E8+E10+E21+E26+E30+E31+E32+E33+E34+E40+E16</f>
        <v>63143890.3</v>
      </c>
      <c r="F50" s="178">
        <f>F8+F10+F21+F26+F30+F31+F32+F33+F34+F40+F16</f>
        <v>0</v>
      </c>
      <c r="G50" s="178">
        <f>G8+G10+G21+G26+G30+G31+G32+G33+G34+G40+G16</f>
        <v>0</v>
      </c>
      <c r="H50" s="359">
        <f>H8+H10+H16+H21+H26+H30+H31+H32+H33+H34+H40</f>
        <v>88101.73999999974</v>
      </c>
      <c r="I50" s="334">
        <f aca="true" t="shared" si="89" ref="I50:N50">I8+I16+I21+I26+I30+I31+I32+I33+I34+I40</f>
        <v>4659000</v>
      </c>
      <c r="J50" s="334">
        <f t="shared" si="89"/>
        <v>4659000</v>
      </c>
      <c r="K50" s="334">
        <f t="shared" si="89"/>
        <v>3546510</v>
      </c>
      <c r="L50" s="474">
        <f t="shared" si="89"/>
        <v>12864510</v>
      </c>
      <c r="M50" s="474">
        <f t="shared" si="89"/>
        <v>4874000</v>
      </c>
      <c r="N50" s="474">
        <f t="shared" si="89"/>
        <v>17738510</v>
      </c>
      <c r="O50" s="474">
        <f>O8+O16+O21+O26+O30+O31+O32+O33+O34+O40</f>
        <v>32814460</v>
      </c>
      <c r="P50" s="474">
        <f>P8+P16+P21+P26+P30+P31+P32+P33+P34+P40</f>
        <v>50552970</v>
      </c>
      <c r="Q50" s="523"/>
      <c r="R50" s="383">
        <f aca="true" t="shared" si="90" ref="R50:AW50">R8+R10+R21+R26+R30+R31+R32+R33+R34+R40+R16</f>
        <v>4882137.71</v>
      </c>
      <c r="S50" s="359">
        <f t="shared" si="90"/>
        <v>0</v>
      </c>
      <c r="T50" s="359">
        <f t="shared" si="90"/>
        <v>0</v>
      </c>
      <c r="U50" s="359">
        <f t="shared" si="90"/>
        <v>4609356.98</v>
      </c>
      <c r="V50" s="359">
        <f t="shared" si="90"/>
        <v>0</v>
      </c>
      <c r="W50" s="359">
        <f t="shared" si="90"/>
        <v>0</v>
      </c>
      <c r="X50" s="178">
        <f t="shared" si="90"/>
        <v>4900127.079999999</v>
      </c>
      <c r="Y50" s="178">
        <f t="shared" si="90"/>
        <v>0</v>
      </c>
      <c r="Z50" s="178">
        <f t="shared" si="90"/>
        <v>0</v>
      </c>
      <c r="AA50" s="178">
        <f t="shared" si="90"/>
        <v>14391621.77</v>
      </c>
      <c r="AB50" s="178">
        <f t="shared" si="90"/>
        <v>0</v>
      </c>
      <c r="AC50" s="178">
        <f t="shared" si="90"/>
        <v>0</v>
      </c>
      <c r="AD50" s="178">
        <f t="shared" si="90"/>
        <v>0</v>
      </c>
      <c r="AE50" s="178">
        <f t="shared" si="90"/>
        <v>0</v>
      </c>
      <c r="AF50" s="178">
        <f t="shared" si="90"/>
        <v>0</v>
      </c>
      <c r="AG50" s="178">
        <f t="shared" si="90"/>
        <v>0</v>
      </c>
      <c r="AH50" s="178">
        <f t="shared" si="90"/>
        <v>0</v>
      </c>
      <c r="AI50" s="178">
        <f t="shared" si="90"/>
        <v>0</v>
      </c>
      <c r="AJ50" s="178">
        <f t="shared" si="90"/>
        <v>0</v>
      </c>
      <c r="AK50" s="178">
        <f t="shared" si="90"/>
        <v>0</v>
      </c>
      <c r="AL50" s="178">
        <f t="shared" si="90"/>
        <v>0</v>
      </c>
      <c r="AM50" s="178">
        <f t="shared" si="90"/>
        <v>0</v>
      </c>
      <c r="AN50" s="178">
        <f t="shared" si="90"/>
        <v>0</v>
      </c>
      <c r="AO50" s="240">
        <f t="shared" si="90"/>
        <v>0</v>
      </c>
      <c r="AP50" s="178">
        <f t="shared" si="90"/>
        <v>0</v>
      </c>
      <c r="AQ50" s="178">
        <f t="shared" si="90"/>
        <v>0</v>
      </c>
      <c r="AR50" s="178">
        <f t="shared" si="90"/>
        <v>0</v>
      </c>
      <c r="AS50" s="178">
        <f t="shared" si="90"/>
        <v>0</v>
      </c>
      <c r="AT50" s="178">
        <f t="shared" si="90"/>
        <v>0</v>
      </c>
      <c r="AU50" s="178">
        <f t="shared" si="90"/>
        <v>0</v>
      </c>
      <c r="AV50" s="178">
        <f t="shared" si="90"/>
        <v>0</v>
      </c>
      <c r="AW50" s="178">
        <f t="shared" si="90"/>
        <v>0</v>
      </c>
      <c r="AX50" s="248">
        <f aca="true" t="shared" si="91" ref="AX50:BS50">AX8+AX10+AX21+AX26+AX30+AX31+AX32+AX33+AX34+AX40+AX16</f>
        <v>0</v>
      </c>
      <c r="AY50" s="178">
        <f t="shared" si="91"/>
        <v>0</v>
      </c>
      <c r="AZ50" s="178">
        <f t="shared" si="91"/>
        <v>0</v>
      </c>
      <c r="BA50" s="178">
        <f t="shared" si="91"/>
        <v>0</v>
      </c>
      <c r="BB50" s="178">
        <f t="shared" si="91"/>
        <v>0</v>
      </c>
      <c r="BC50" s="178">
        <f t="shared" si="91"/>
        <v>0</v>
      </c>
      <c r="BD50" s="178">
        <f t="shared" si="91"/>
        <v>0</v>
      </c>
      <c r="BE50" s="178">
        <f t="shared" si="91"/>
        <v>0</v>
      </c>
      <c r="BF50" s="178">
        <f t="shared" si="91"/>
        <v>0</v>
      </c>
      <c r="BG50" s="178">
        <f t="shared" si="91"/>
        <v>0</v>
      </c>
      <c r="BH50" s="178">
        <f t="shared" si="91"/>
        <v>0</v>
      </c>
      <c r="BI50" s="178">
        <f t="shared" si="91"/>
        <v>0</v>
      </c>
      <c r="BJ50" s="178">
        <f t="shared" si="91"/>
        <v>0</v>
      </c>
      <c r="BK50" s="178">
        <f t="shared" si="91"/>
        <v>0</v>
      </c>
      <c r="BL50" s="178">
        <f t="shared" si="91"/>
        <v>0</v>
      </c>
      <c r="BM50" s="178">
        <f t="shared" si="91"/>
        <v>0</v>
      </c>
      <c r="BN50" s="178">
        <f t="shared" si="91"/>
        <v>14391621.77</v>
      </c>
      <c r="BO50" s="178">
        <f t="shared" si="91"/>
        <v>0</v>
      </c>
      <c r="BP50" s="178">
        <f t="shared" si="91"/>
        <v>0</v>
      </c>
      <c r="BQ50" s="178">
        <f t="shared" si="91"/>
        <v>0</v>
      </c>
      <c r="BR50" s="178">
        <f t="shared" si="91"/>
        <v>0</v>
      </c>
      <c r="BS50" s="178">
        <f t="shared" si="91"/>
        <v>-973111.7699999993</v>
      </c>
    </row>
    <row r="51" spans="1:72" s="18" customFormat="1" ht="16.5" customHeight="1" hidden="1" thickBot="1">
      <c r="A51" s="17"/>
      <c r="B51" s="10"/>
      <c r="C51" s="27"/>
      <c r="D51" s="96"/>
      <c r="E51" s="181"/>
      <c r="F51" s="539"/>
      <c r="G51" s="539"/>
      <c r="H51" s="475" t="s">
        <v>124</v>
      </c>
      <c r="I51" s="96"/>
      <c r="J51" s="96"/>
      <c r="K51" s="478" t="s">
        <v>126</v>
      </c>
      <c r="L51" s="479">
        <f>L46+L14</f>
        <v>25212000</v>
      </c>
      <c r="M51" s="479">
        <f>M46+M14</f>
        <v>10200070</v>
      </c>
      <c r="N51" s="479">
        <f>N46+N14</f>
        <v>33718000</v>
      </c>
      <c r="O51" s="479">
        <f>O46+O14</f>
        <v>51062970</v>
      </c>
      <c r="P51" s="479">
        <f>P46+P14</f>
        <v>83086900</v>
      </c>
      <c r="Q51" s="211"/>
      <c r="R51" s="24"/>
      <c r="S51" s="24"/>
      <c r="T51" s="24"/>
      <c r="U51" s="24"/>
      <c r="V51" s="24"/>
      <c r="W51" s="24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2"/>
      <c r="BN51" s="181"/>
      <c r="BO51" s="539"/>
      <c r="BP51" s="539"/>
      <c r="BQ51" s="193"/>
      <c r="BR51" s="42"/>
      <c r="BS51" s="42"/>
      <c r="BT51" s="133"/>
    </row>
    <row r="52" spans="1:72" s="6" customFormat="1" ht="18.75" customHeight="1" hidden="1" thickBot="1">
      <c r="A52" s="544" t="s">
        <v>47</v>
      </c>
      <c r="B52" s="545"/>
      <c r="C52" s="159"/>
      <c r="D52" s="338"/>
      <c r="E52" s="536" t="s">
        <v>120</v>
      </c>
      <c r="F52" s="537"/>
      <c r="G52" s="537"/>
      <c r="H52" s="476">
        <v>214386.13</v>
      </c>
      <c r="I52" s="149"/>
      <c r="J52" s="336"/>
      <c r="K52" s="336"/>
      <c r="L52" s="391"/>
      <c r="M52" s="391"/>
      <c r="N52" s="391"/>
      <c r="O52" s="391"/>
      <c r="P52" s="391"/>
      <c r="Q52" s="481" t="s">
        <v>130</v>
      </c>
      <c r="R52" s="23">
        <f aca="true" t="shared" si="92" ref="R52:AL52">R7+R13+R15+R25+R29+R39+R41</f>
        <v>847483.1299999999</v>
      </c>
      <c r="S52" s="23">
        <f t="shared" si="92"/>
        <v>766505.21</v>
      </c>
      <c r="T52" s="23">
        <f t="shared" si="92"/>
        <v>417702.07999999996</v>
      </c>
      <c r="U52" s="23">
        <f t="shared" si="92"/>
        <v>798401.1299999999</v>
      </c>
      <c r="V52" s="23">
        <f t="shared" si="92"/>
        <v>767935.1699999998</v>
      </c>
      <c r="W52" s="456">
        <f t="shared" si="92"/>
        <v>1551209.02</v>
      </c>
      <c r="X52" s="129">
        <f t="shared" si="92"/>
        <v>1112247.3499999996</v>
      </c>
      <c r="Y52" s="129">
        <f t="shared" si="92"/>
        <v>257510.75</v>
      </c>
      <c r="Z52" s="129">
        <f t="shared" si="92"/>
        <v>2065331.5199999998</v>
      </c>
      <c r="AA52" s="129">
        <f t="shared" si="92"/>
        <v>2758131.61</v>
      </c>
      <c r="AB52" s="129">
        <f t="shared" si="92"/>
        <v>1791951.13</v>
      </c>
      <c r="AC52" s="129">
        <f t="shared" si="92"/>
        <v>4034242.6199999996</v>
      </c>
      <c r="AD52" s="129">
        <f t="shared" si="92"/>
        <v>0</v>
      </c>
      <c r="AE52" s="129">
        <f t="shared" si="92"/>
        <v>0</v>
      </c>
      <c r="AF52" s="129">
        <f t="shared" si="92"/>
        <v>0</v>
      </c>
      <c r="AG52" s="129">
        <f t="shared" si="92"/>
        <v>0</v>
      </c>
      <c r="AH52" s="129">
        <f t="shared" si="92"/>
        <v>0</v>
      </c>
      <c r="AI52" s="129">
        <f t="shared" si="92"/>
        <v>0</v>
      </c>
      <c r="AJ52" s="129">
        <f t="shared" si="92"/>
        <v>0</v>
      </c>
      <c r="AK52" s="129">
        <f t="shared" si="92"/>
        <v>0</v>
      </c>
      <c r="AL52" s="129">
        <f t="shared" si="92"/>
        <v>0</v>
      </c>
      <c r="AM52" s="129"/>
      <c r="AN52" s="129"/>
      <c r="AO52" s="129"/>
      <c r="AP52" s="129">
        <f aca="true" t="shared" si="93" ref="AP52:BM52">AP7+AP13+AP15+AP25+AP29+AP39+AP41</f>
        <v>0</v>
      </c>
      <c r="AQ52" s="129">
        <f t="shared" si="93"/>
        <v>0</v>
      </c>
      <c r="AR52" s="129">
        <f t="shared" si="93"/>
        <v>0</v>
      </c>
      <c r="AS52" s="129">
        <f t="shared" si="93"/>
        <v>0</v>
      </c>
      <c r="AT52" s="129">
        <f t="shared" si="93"/>
        <v>0</v>
      </c>
      <c r="AU52" s="295">
        <f t="shared" si="93"/>
        <v>0</v>
      </c>
      <c r="AV52" s="295">
        <f t="shared" si="93"/>
        <v>0</v>
      </c>
      <c r="AW52" s="295">
        <f t="shared" si="93"/>
        <v>0</v>
      </c>
      <c r="AX52" s="295">
        <f t="shared" si="93"/>
        <v>0</v>
      </c>
      <c r="AY52" s="129">
        <f t="shared" si="93"/>
        <v>0</v>
      </c>
      <c r="AZ52" s="129">
        <f t="shared" si="93"/>
        <v>0</v>
      </c>
      <c r="BA52" s="129">
        <f t="shared" si="93"/>
        <v>0</v>
      </c>
      <c r="BB52" s="129">
        <f t="shared" si="93"/>
        <v>0</v>
      </c>
      <c r="BC52" s="129">
        <f t="shared" si="93"/>
        <v>0</v>
      </c>
      <c r="BD52" s="129">
        <f t="shared" si="93"/>
        <v>0</v>
      </c>
      <c r="BE52" s="129">
        <f t="shared" si="93"/>
        <v>0</v>
      </c>
      <c r="BF52" s="129">
        <f t="shared" si="93"/>
        <v>0</v>
      </c>
      <c r="BG52" s="129">
        <f t="shared" si="93"/>
        <v>0</v>
      </c>
      <c r="BH52" s="129">
        <f t="shared" si="93"/>
        <v>0</v>
      </c>
      <c r="BI52" s="129">
        <f t="shared" si="93"/>
        <v>0</v>
      </c>
      <c r="BJ52" s="129">
        <f t="shared" si="93"/>
        <v>0</v>
      </c>
      <c r="BK52" s="129">
        <f t="shared" si="93"/>
        <v>0</v>
      </c>
      <c r="BL52" s="129">
        <f t="shared" si="93"/>
        <v>0</v>
      </c>
      <c r="BM52" s="194">
        <f t="shared" si="93"/>
        <v>0</v>
      </c>
      <c r="BN52" s="536" t="s">
        <v>121</v>
      </c>
      <c r="BO52" s="537"/>
      <c r="BP52" s="537"/>
      <c r="BQ52" s="301">
        <f>23863.52+23863.52</f>
        <v>47727.04</v>
      </c>
      <c r="BR52" s="147"/>
      <c r="BS52" s="147"/>
      <c r="BT52" s="134"/>
    </row>
    <row r="53" spans="1:72" s="11" customFormat="1" ht="15" hidden="1">
      <c r="A53" s="538"/>
      <c r="B53" s="538"/>
      <c r="C53" s="130"/>
      <c r="E53" s="102"/>
      <c r="F53" s="102"/>
      <c r="G53" s="210"/>
      <c r="H53" s="227"/>
      <c r="I53" s="325"/>
      <c r="J53" s="325"/>
      <c r="K53" s="325"/>
      <c r="L53" s="392"/>
      <c r="M53" s="392"/>
      <c r="N53" s="392"/>
      <c r="O53" s="392"/>
      <c r="P53" s="392"/>
      <c r="Q53" s="397"/>
      <c r="R53" s="457"/>
      <c r="S53" s="457"/>
      <c r="T53" s="457"/>
      <c r="U53" s="457"/>
      <c r="V53" s="457"/>
      <c r="W53" s="458"/>
      <c r="X53" s="101"/>
      <c r="Y53" s="101"/>
      <c r="Z53" s="101"/>
      <c r="AA53" s="102"/>
      <c r="AB53" s="102">
        <f>AB49+AA50</f>
        <v>16219761.34</v>
      </c>
      <c r="AC53" s="102"/>
      <c r="AD53" s="101"/>
      <c r="AE53" s="101"/>
      <c r="AF53" s="101"/>
      <c r="AG53" s="101"/>
      <c r="AH53" s="101"/>
      <c r="AI53" s="101"/>
      <c r="AJ53" s="101"/>
      <c r="AK53" s="101"/>
      <c r="AL53" s="101"/>
      <c r="AM53" s="102"/>
      <c r="AN53" s="102"/>
      <c r="AO53" s="102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2"/>
      <c r="BO53" s="102"/>
      <c r="BP53" s="210"/>
      <c r="BQ53" s="220"/>
      <c r="BR53" s="130"/>
      <c r="BS53" s="130"/>
      <c r="BT53" s="457"/>
    </row>
    <row r="54" spans="2:69" ht="12" customHeight="1" hidden="1">
      <c r="B54" s="224"/>
      <c r="E54" s="27"/>
      <c r="F54" s="27"/>
      <c r="G54" s="211"/>
      <c r="W54" s="459"/>
      <c r="X54" s="103"/>
      <c r="Y54" s="103"/>
      <c r="Z54" s="103"/>
      <c r="AA54" s="27"/>
      <c r="AB54" s="27"/>
      <c r="AC54" s="27"/>
      <c r="AD54" s="103"/>
      <c r="AE54" s="103"/>
      <c r="AF54" s="103"/>
      <c r="AG54" s="103"/>
      <c r="AH54" s="103"/>
      <c r="AI54" s="103"/>
      <c r="AJ54" s="103"/>
      <c r="AK54" s="103"/>
      <c r="AL54" s="103"/>
      <c r="AM54" s="27"/>
      <c r="AN54" s="27"/>
      <c r="AO54" s="27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27"/>
      <c r="BO54" s="27"/>
      <c r="BP54" s="211"/>
      <c r="BQ54" s="221"/>
    </row>
    <row r="55" ht="15" hidden="1">
      <c r="BQ55" s="221"/>
    </row>
    <row r="56" ht="15" hidden="1">
      <c r="BQ56" s="221"/>
    </row>
  </sheetData>
  <sheetProtection/>
  <mergeCells count="31">
    <mergeCell ref="A1:I1"/>
    <mergeCell ref="A14:B14"/>
    <mergeCell ref="BR35:BS35"/>
    <mergeCell ref="BR9:BS9"/>
    <mergeCell ref="BR14:BS14"/>
    <mergeCell ref="BR17:BS17"/>
    <mergeCell ref="A26:A34"/>
    <mergeCell ref="A15:A16"/>
    <mergeCell ref="A18:A20"/>
    <mergeCell ref="A25:B25"/>
    <mergeCell ref="A5:B5"/>
    <mergeCell ref="A22:B22"/>
    <mergeCell ref="A23:A24"/>
    <mergeCell ref="A7:A8"/>
    <mergeCell ref="A9:B9"/>
    <mergeCell ref="A45:B45"/>
    <mergeCell ref="A49:B49"/>
    <mergeCell ref="A43:B43"/>
    <mergeCell ref="A35:B35"/>
    <mergeCell ref="A36:A38"/>
    <mergeCell ref="A39:B39"/>
    <mergeCell ref="BN52:BP52"/>
    <mergeCell ref="A53:B53"/>
    <mergeCell ref="BO51:BP51"/>
    <mergeCell ref="A40:B40"/>
    <mergeCell ref="A44:B44"/>
    <mergeCell ref="F51:G51"/>
    <mergeCell ref="E52:G52"/>
    <mergeCell ref="A52:B52"/>
    <mergeCell ref="A41:B41"/>
    <mergeCell ref="A42:B42"/>
  </mergeCells>
  <printOptions/>
  <pageMargins left="0.34" right="0.16" top="0.24" bottom="0.16" header="0.2" footer="0.1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IonC</dc:creator>
  <cp:keywords/>
  <dc:description/>
  <cp:lastModifiedBy>marinela.ichim</cp:lastModifiedBy>
  <cp:lastPrinted>2022-05-11T14:33:35Z</cp:lastPrinted>
  <dcterms:created xsi:type="dcterms:W3CDTF">2011-03-01T10:10:47Z</dcterms:created>
  <dcterms:modified xsi:type="dcterms:W3CDTF">2022-05-11T14:33:42Z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