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20520" windowHeight="9525" tabRatio="772" activeTab="0"/>
  </bookViews>
  <sheets>
    <sheet name="dupa DEC2021 (2)" sheetId="1" r:id="rId1"/>
  </sheets>
  <definedNames/>
  <calcPr fullCalcOnLoad="1"/>
</workbook>
</file>

<file path=xl/sharedStrings.xml><?xml version="1.0" encoding="utf-8"?>
<sst xmlns="http://schemas.openxmlformats.org/spreadsheetml/2006/main" count="172" uniqueCount="151">
  <si>
    <t>SLA</t>
  </si>
  <si>
    <t>CASA DE ASIGURARI DE SANATATE BRAILA</t>
  </si>
  <si>
    <t>PROGRAM</t>
  </si>
  <si>
    <t>TIP alocare</t>
  </si>
  <si>
    <t>SPITAL</t>
  </si>
  <si>
    <t>FARMACII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</si>
  <si>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</si>
  <si>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</si>
  <si>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</si>
  <si>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</si>
  <si>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</si>
  <si>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</si>
  <si>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</si>
  <si>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</si>
  <si>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</si>
  <si>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</si>
  <si>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</si>
  <si>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</si>
  <si>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</si>
  <si>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</si>
  <si>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</si>
  <si>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</si>
  <si>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</si>
  <si>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</si>
  <si>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</si>
  <si>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</si>
  <si>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</si>
  <si>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</si>
  <si>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</si>
  <si>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>Boala HUNTER - SPITAL</t>
  </si>
  <si>
    <t>Sindrom Prader Willi</t>
  </si>
  <si>
    <t>BOLI RARE</t>
  </si>
  <si>
    <t>Hemofilie + talasemie</t>
  </si>
  <si>
    <t>RADIOTERAPIE *) - SPITAL JUDETEAN</t>
  </si>
  <si>
    <t>MUCOVISCIDOZA adulti</t>
  </si>
  <si>
    <t>TOTAL ONCOLOGIE (fara CV)</t>
  </si>
  <si>
    <t>Program national de supleere a functiei renale la bolnavii cu insuficienta renala cronica*)</t>
  </si>
  <si>
    <t xml:space="preserve">MEDICAMENTE (fara CV) = </t>
  </si>
  <si>
    <t>Contracte FPS</t>
  </si>
  <si>
    <t>DUCHENNE</t>
  </si>
  <si>
    <t>CONSUM IAN</t>
  </si>
  <si>
    <t>INTRARI IAN</t>
  </si>
  <si>
    <t>CONSUM FEB</t>
  </si>
  <si>
    <t>INTRARI FEB</t>
  </si>
  <si>
    <t>CONSUM MAR</t>
  </si>
  <si>
    <t>INTRARI MAR</t>
  </si>
  <si>
    <t>CONSUM TRIM I</t>
  </si>
  <si>
    <t>PNS ctr 1724 SPITAL JUDETEAN (cu CV) =</t>
  </si>
  <si>
    <t xml:space="preserve">PNS pt FARMACII (cu CV) = </t>
  </si>
  <si>
    <t>CONSUM APR</t>
  </si>
  <si>
    <t>INTRARI APR</t>
  </si>
  <si>
    <t>CONSUM MAI</t>
  </si>
  <si>
    <t>INTRARI MAI</t>
  </si>
  <si>
    <t>CONSUM IUN</t>
  </si>
  <si>
    <t>INTRARI IUN</t>
  </si>
  <si>
    <t>CONSUM TRIM II</t>
  </si>
  <si>
    <t>CONSUM IUL</t>
  </si>
  <si>
    <t>INTRARI IUL</t>
  </si>
  <si>
    <t>CONSUM AUG</t>
  </si>
  <si>
    <t>INTRARI AUG</t>
  </si>
  <si>
    <t>CONSUM SEP</t>
  </si>
  <si>
    <t>INTRARI SEP</t>
  </si>
  <si>
    <t>CONSUM TRIM III</t>
  </si>
  <si>
    <t>CONSUM OCT</t>
  </si>
  <si>
    <t>INTRARI OCT</t>
  </si>
  <si>
    <t>CONSUM NOV</t>
  </si>
  <si>
    <t>INTRARI NOV</t>
  </si>
  <si>
    <t>CONSUM DEC</t>
  </si>
  <si>
    <t>INTRARI DEC</t>
  </si>
  <si>
    <t>CONSUM TRIM IV</t>
  </si>
  <si>
    <t xml:space="preserve">INTRARI TRIM I </t>
  </si>
  <si>
    <t xml:space="preserve">INTRARI TRIM II </t>
  </si>
  <si>
    <t>VENETIA MEDICAL / din 01 aug 2019 / ONCOLOGIE spital</t>
  </si>
  <si>
    <t xml:space="preserve">PNS SPITAL / ctr.1724 (cu CV) = </t>
  </si>
  <si>
    <t>PLATI la spitale IUL2019</t>
  </si>
  <si>
    <t>PLATI la spitale SEP2019</t>
  </si>
  <si>
    <t>PLATI la spitale AUG2019</t>
  </si>
  <si>
    <t xml:space="preserve">INTRARI TRIM III </t>
  </si>
  <si>
    <t>PLATI la spitale TRIM III 2019</t>
  </si>
  <si>
    <t>FIBROZA pulmonara</t>
  </si>
  <si>
    <t xml:space="preserve">INTRARI TRIM IV </t>
  </si>
  <si>
    <t>PLATI la spitale TRIM IV 2019</t>
  </si>
  <si>
    <t>PLATI la spitale OCT2019</t>
  </si>
  <si>
    <t>PLATI la spitale NOV2019</t>
  </si>
  <si>
    <t>PLATI la spitale DEC2019</t>
  </si>
  <si>
    <t>CA - IAN 2020</t>
  </si>
  <si>
    <t>CA - FEB 2020</t>
  </si>
  <si>
    <t>CA - AN 2020</t>
  </si>
  <si>
    <t>Depasire CA/2019       (cand este cu +) (Nerealizari cu - )</t>
  </si>
  <si>
    <t>CA - MART 2020</t>
  </si>
  <si>
    <t>CA - TRIM I 2020</t>
  </si>
  <si>
    <t>CA - APRILIE 2020</t>
  </si>
  <si>
    <t>DEPASIRI TRIM I 2020 (daca e cu +)</t>
  </si>
  <si>
    <t>CA - MAI 2020</t>
  </si>
  <si>
    <t>CA IUN - SEPT 2020</t>
  </si>
  <si>
    <t>PLATI la spitale APR2020</t>
  </si>
  <si>
    <t>PLATI la spitale MAI2020</t>
  </si>
  <si>
    <t>PLATI la spitale IUN2020</t>
  </si>
  <si>
    <t>PLATI la spitale TRIM II 2020</t>
  </si>
  <si>
    <t>PLATI la spitale TRIM III</t>
  </si>
  <si>
    <t>PLATI la spitale IUL</t>
  </si>
  <si>
    <t>PLATI la spitale AUG</t>
  </si>
  <si>
    <t>PLATI la spitale SEP</t>
  </si>
  <si>
    <t>PLATI la spitale OCT</t>
  </si>
  <si>
    <t>PLATI la spitale NOV</t>
  </si>
  <si>
    <t>PLATI la spitale DEC</t>
  </si>
  <si>
    <t>PLATI la spitale TRIM IV</t>
  </si>
  <si>
    <t>COST-VOLUM -Venetia</t>
  </si>
  <si>
    <t>COST-VOLUM -Sp Jud</t>
  </si>
  <si>
    <t>Boli neurologice - SPITAL</t>
  </si>
  <si>
    <t xml:space="preserve">TOTAL spitale = </t>
  </si>
  <si>
    <t>Depasire CA / AN (unde este cu +)</t>
  </si>
  <si>
    <t>TOTAL CONSUM 12luni 2020</t>
  </si>
  <si>
    <t>TOTAL INTRARI 12 luni 2020</t>
  </si>
  <si>
    <t>TOTAL PLATI la spitale 12 luni</t>
  </si>
  <si>
    <t xml:space="preserve">CONTRACT total VENETIA = </t>
  </si>
  <si>
    <t>ART.8</t>
  </si>
  <si>
    <t>FINAL 2020</t>
  </si>
  <si>
    <t>IANUARIE 2021</t>
  </si>
  <si>
    <t>FEBRUARIE 2021</t>
  </si>
  <si>
    <t xml:space="preserve">TOTAL ONCO ---VENETIA  (cu CV) </t>
  </si>
  <si>
    <t xml:space="preserve">TOTAL ONCO --- SP JUD   (cu CV) </t>
  </si>
  <si>
    <t>STOC la 01.01.2021</t>
  </si>
  <si>
    <t>Consum mediu lunar AN 2020</t>
  </si>
  <si>
    <t>PLATI la spitale IAN</t>
  </si>
  <si>
    <t>PLATI la spitale FEB</t>
  </si>
  <si>
    <t>PLATI la spitale MAR</t>
  </si>
  <si>
    <t xml:space="preserve">PLATI la spitale TRIM I </t>
  </si>
  <si>
    <t>CA / AN 2021</t>
  </si>
  <si>
    <t>DISPONIBIL din CA/spital - AN 2021</t>
  </si>
  <si>
    <t>DISPONIBIL din CA/farmacii -AN2021</t>
  </si>
  <si>
    <t>MARTIE 2021</t>
  </si>
  <si>
    <t>APR + MAI 2021</t>
  </si>
  <si>
    <t>CA / IUNIE 2021</t>
  </si>
  <si>
    <t>Spital Judetean</t>
  </si>
  <si>
    <t>CA pt IUL-DEC2021</t>
  </si>
  <si>
    <t>CV in FARM-ONCO</t>
  </si>
  <si>
    <t>CV in FARM-Muco</t>
  </si>
  <si>
    <t>CA 9 luni 2021</t>
  </si>
  <si>
    <t>TOTAL GENERAL P.N.S. (fara DIAL,  RADIOT, HEMOGL)</t>
  </si>
  <si>
    <t xml:space="preserve">SENTINTE CIVILE pt CV / ONCO = </t>
  </si>
  <si>
    <t>HEMOGLOBINA glicozilata *) - DR. VARZARU + PRAXIS</t>
  </si>
  <si>
    <t>Depasire CA la AN 2021 (daca e cu +)</t>
  </si>
  <si>
    <t>TOTAL COST-VOLUM ONCO</t>
  </si>
  <si>
    <r>
      <t xml:space="preserve">TOTAL CONSUM AN2021 </t>
    </r>
    <r>
      <rPr>
        <b/>
        <sz val="8"/>
        <rFont val="Arial"/>
        <family val="2"/>
      </rPr>
      <t>(cu Art8)</t>
    </r>
  </si>
  <si>
    <t>TOTAL INTRARI AN2021</t>
  </si>
  <si>
    <t>TOTAL PLATI la spitale  AN2021</t>
  </si>
  <si>
    <t>STOC la 31.12.2021</t>
  </si>
  <si>
    <t>Consum mediu lunar (pt 12 luni)</t>
  </si>
  <si>
    <t>FINAL 2021</t>
  </si>
  <si>
    <t>21/01/2022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</si>
</sst>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7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6"/>
      <name val="Arial"/>
      <family val="2"/>
    </font>
    <font>
      <sz val="7"/>
      <name val="Arial"/>
      <family val="0"/>
    </font>
    <font>
      <b/>
      <i/>
      <sz val="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21" xfId="0" applyNumberFormat="1" applyFill="1" applyBorder="1" applyAlignment="1">
      <alignment vertical="center"/>
    </xf>
    <xf numFmtId="0" fontId="9" fillId="0" borderId="22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0" fontId="1" fillId="5" borderId="2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vertical="center" wrapText="1"/>
    </xf>
    <xf numFmtId="4" fontId="9" fillId="24" borderId="21" xfId="0" applyNumberFormat="1" applyFont="1" applyFill="1" applyBorder="1" applyAlignment="1">
      <alignment vertical="center" wrapText="1"/>
    </xf>
    <xf numFmtId="4" fontId="10" fillId="4" borderId="18" xfId="0" applyNumberFormat="1" applyFont="1" applyFill="1" applyBorder="1" applyAlignment="1">
      <alignment wrapText="1"/>
    </xf>
    <xf numFmtId="4" fontId="10" fillId="24" borderId="19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0" fillId="0" borderId="30" xfId="0" applyNumberFormat="1" applyFill="1" applyBorder="1" applyAlignment="1">
      <alignment vertical="center"/>
    </xf>
    <xf numFmtId="4" fontId="0" fillId="0" borderId="31" xfId="0" applyNumberFormat="1" applyFill="1" applyBorder="1" applyAlignment="1">
      <alignment vertical="center"/>
    </xf>
    <xf numFmtId="4" fontId="0" fillId="0" borderId="32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34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4" fillId="25" borderId="21" xfId="0" applyNumberFormat="1" applyFont="1" applyFill="1" applyBorder="1" applyAlignment="1">
      <alignment vertical="center" wrapText="1"/>
    </xf>
    <xf numFmtId="4" fontId="4" fillId="25" borderId="21" xfId="0" applyNumberFormat="1" applyFont="1" applyFill="1" applyBorder="1" applyAlignment="1">
      <alignment vertical="center"/>
    </xf>
    <xf numFmtId="0" fontId="9" fillId="24" borderId="35" xfId="0" applyFont="1" applyFill="1" applyBorder="1" applyAlignment="1">
      <alignment horizontal="center" vertical="center" wrapText="1"/>
    </xf>
    <xf numFmtId="0" fontId="9" fillId="24" borderId="36" xfId="0" applyFont="1" applyFill="1" applyBorder="1" applyAlignment="1">
      <alignment wrapText="1"/>
    </xf>
    <xf numFmtId="4" fontId="4" fillId="25" borderId="35" xfId="0" applyNumberFormat="1" applyFont="1" applyFill="1" applyBorder="1" applyAlignment="1">
      <alignment vertical="center" wrapText="1"/>
    </xf>
    <xf numFmtId="4" fontId="4" fillId="25" borderId="35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4" fontId="0" fillId="0" borderId="37" xfId="0" applyNumberFormat="1" applyFill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39" xfId="0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right" wrapText="1"/>
    </xf>
    <xf numFmtId="4" fontId="9" fillId="20" borderId="25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0" fillId="4" borderId="18" xfId="0" applyNumberFormat="1" applyFont="1" applyFill="1" applyBorder="1" applyAlignment="1">
      <alignment wrapText="1"/>
    </xf>
    <xf numFmtId="3" fontId="4" fillId="0" borderId="25" xfId="0" applyNumberFormat="1" applyFont="1" applyFill="1" applyBorder="1" applyAlignment="1">
      <alignment vertical="center" wrapText="1"/>
    </xf>
    <xf numFmtId="4" fontId="9" fillId="25" borderId="35" xfId="0" applyNumberFormat="1" applyFont="1" applyFill="1" applyBorder="1" applyAlignment="1">
      <alignment vertical="center"/>
    </xf>
    <xf numFmtId="3" fontId="4" fillId="4" borderId="18" xfId="0" applyNumberFormat="1" applyFont="1" applyFill="1" applyBorder="1" applyAlignment="1">
      <alignment wrapText="1"/>
    </xf>
    <xf numFmtId="4" fontId="0" fillId="0" borderId="36" xfId="0" applyNumberFormat="1" applyFill="1" applyBorder="1" applyAlignment="1">
      <alignment vertical="center"/>
    </xf>
    <xf numFmtId="4" fontId="11" fillId="0" borderId="0" xfId="0" applyNumberFormat="1" applyFont="1" applyFill="1" applyAlignment="1">
      <alignment/>
    </xf>
    <xf numFmtId="4" fontId="0" fillId="0" borderId="38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41" xfId="0" applyNumberFormat="1" applyFill="1" applyBorder="1" applyAlignment="1">
      <alignment vertical="center"/>
    </xf>
    <xf numFmtId="3" fontId="4" fillId="0" borderId="0" xfId="0" applyNumberFormat="1" applyFont="1" applyFill="1" applyAlignment="1">
      <alignment vertical="distributed"/>
    </xf>
    <xf numFmtId="4" fontId="0" fillId="0" borderId="0" xfId="0" applyNumberFormat="1" applyFill="1" applyAlignment="1">
      <alignment vertical="distributed"/>
    </xf>
    <xf numFmtId="0" fontId="0" fillId="0" borderId="0" xfId="0" applyFill="1" applyAlignment="1">
      <alignment vertical="distributed"/>
    </xf>
    <xf numFmtId="4" fontId="0" fillId="0" borderId="12" xfId="0" applyNumberFormat="1" applyFill="1" applyBorder="1" applyAlignment="1">
      <alignment vertical="center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vertical="distributed"/>
    </xf>
    <xf numFmtId="0" fontId="4" fillId="0" borderId="0" xfId="0" applyFont="1" applyFill="1" applyAlignment="1">
      <alignment vertical="distributed"/>
    </xf>
    <xf numFmtId="4" fontId="4" fillId="0" borderId="28" xfId="0" applyNumberFormat="1" applyFont="1" applyFill="1" applyBorder="1" applyAlignment="1">
      <alignment vertical="center"/>
    </xf>
    <xf numFmtId="4" fontId="4" fillId="0" borderId="29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4" fillId="25" borderId="21" xfId="0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distributed"/>
    </xf>
    <xf numFmtId="4" fontId="4" fillId="25" borderId="35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38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vertical="center"/>
    </xf>
    <xf numFmtId="4" fontId="4" fillId="0" borderId="37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4" fillId="0" borderId="42" xfId="0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vertical="center"/>
    </xf>
    <xf numFmtId="4" fontId="0" fillId="0" borderId="45" xfId="0" applyNumberFormat="1" applyFill="1" applyBorder="1" applyAlignment="1">
      <alignment vertical="center"/>
    </xf>
    <xf numFmtId="4" fontId="0" fillId="0" borderId="46" xfId="0" applyNumberFormat="1" applyFill="1" applyBorder="1" applyAlignment="1">
      <alignment vertical="center"/>
    </xf>
    <xf numFmtId="4" fontId="0" fillId="0" borderId="35" xfId="0" applyNumberFormat="1" applyFill="1" applyBorder="1" applyAlignment="1">
      <alignment vertical="center"/>
    </xf>
    <xf numFmtId="4" fontId="0" fillId="0" borderId="47" xfId="0" applyNumberFormat="1" applyFill="1" applyBorder="1" applyAlignment="1">
      <alignment vertical="center"/>
    </xf>
    <xf numFmtId="3" fontId="9" fillId="4" borderId="18" xfId="0" applyNumberFormat="1" applyFont="1" applyFill="1" applyBorder="1" applyAlignment="1">
      <alignment wrapText="1"/>
    </xf>
    <xf numFmtId="3" fontId="0" fillId="0" borderId="0" xfId="0" applyNumberFormat="1" applyFill="1" applyAlignment="1">
      <alignment vertical="distributed"/>
    </xf>
    <xf numFmtId="3" fontId="0" fillId="0" borderId="0" xfId="0" applyNumberFormat="1" applyFill="1" applyAlignment="1">
      <alignment/>
    </xf>
    <xf numFmtId="4" fontId="9" fillId="3" borderId="42" xfId="0" applyNumberFormat="1" applyFont="1" applyFill="1" applyBorder="1" applyAlignment="1">
      <alignment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4" fontId="9" fillId="0" borderId="50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4" fillId="20" borderId="24" xfId="0" applyNumberFormat="1" applyFont="1" applyFill="1" applyBorder="1" applyAlignment="1">
      <alignment horizontal="center" vertical="center" wrapText="1"/>
    </xf>
    <xf numFmtId="4" fontId="4" fillId="20" borderId="44" xfId="0" applyNumberFormat="1" applyFont="1" applyFill="1" applyBorder="1" applyAlignment="1">
      <alignment horizontal="center" vertical="center" wrapText="1"/>
    </xf>
    <xf numFmtId="4" fontId="4" fillId="20" borderId="16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51" xfId="0" applyNumberFormat="1" applyFont="1" applyFill="1" applyBorder="1" applyAlignment="1">
      <alignment vertical="center"/>
    </xf>
    <xf numFmtId="4" fontId="4" fillId="0" borderId="52" xfId="0" applyNumberFormat="1" applyFont="1" applyFill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25" borderId="54" xfId="0" applyNumberFormat="1" applyFont="1" applyFill="1" applyBorder="1" applyAlignment="1">
      <alignment vertical="center"/>
    </xf>
    <xf numFmtId="4" fontId="4" fillId="0" borderId="55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27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42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32" xfId="0" applyNumberFormat="1" applyFont="1" applyFill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38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43" xfId="0" applyNumberFormat="1" applyFont="1" applyFill="1" applyBorder="1" applyAlignment="1">
      <alignment vertical="center"/>
    </xf>
    <xf numFmtId="4" fontId="0" fillId="0" borderId="37" xfId="0" applyNumberFormat="1" applyFont="1" applyFill="1" applyBorder="1" applyAlignment="1">
      <alignment vertical="center"/>
    </xf>
    <xf numFmtId="4" fontId="0" fillId="25" borderId="21" xfId="0" applyNumberFormat="1" applyFont="1" applyFill="1" applyBorder="1" applyAlignment="1">
      <alignment vertical="center"/>
    </xf>
    <xf numFmtId="4" fontId="0" fillId="0" borderId="36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distributed"/>
    </xf>
    <xf numFmtId="4" fontId="4" fillId="4" borderId="18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vertical="center"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56" xfId="0" applyNumberFormat="1" applyFont="1" applyBorder="1" applyAlignment="1">
      <alignment horizontal="center" vertical="center" wrapText="1"/>
    </xf>
    <xf numFmtId="4" fontId="0" fillId="0" borderId="57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 vertical="center"/>
    </xf>
    <xf numFmtId="4" fontId="11" fillId="0" borderId="4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4" fontId="11" fillId="0" borderId="20" xfId="0" applyNumberFormat="1" applyFont="1" applyFill="1" applyBorder="1" applyAlignment="1">
      <alignment vertical="center"/>
    </xf>
    <xf numFmtId="4" fontId="11" fillId="0" borderId="58" xfId="0" applyNumberFormat="1" applyFont="1" applyFill="1" applyBorder="1" applyAlignment="1">
      <alignment vertical="center"/>
    </xf>
    <xf numFmtId="4" fontId="11" fillId="0" borderId="21" xfId="0" applyNumberFormat="1" applyFont="1" applyFill="1" applyBorder="1" applyAlignment="1">
      <alignment vertical="center"/>
    </xf>
    <xf numFmtId="4" fontId="0" fillId="26" borderId="11" xfId="0" applyNumberFormat="1" applyFont="1" applyFill="1" applyBorder="1" applyAlignment="1">
      <alignment/>
    </xf>
    <xf numFmtId="4" fontId="0" fillId="26" borderId="38" xfId="0" applyNumberFormat="1" applyFont="1" applyFill="1" applyBorder="1" applyAlignment="1">
      <alignment/>
    </xf>
    <xf numFmtId="4" fontId="0" fillId="26" borderId="36" xfId="0" applyNumberFormat="1" applyFont="1" applyFill="1" applyBorder="1" applyAlignment="1">
      <alignment/>
    </xf>
    <xf numFmtId="4" fontId="0" fillId="26" borderId="55" xfId="0" applyNumberFormat="1" applyFont="1" applyFill="1" applyBorder="1" applyAlignment="1">
      <alignment/>
    </xf>
    <xf numFmtId="4" fontId="0" fillId="26" borderId="12" xfId="0" applyNumberFormat="1" applyFont="1" applyFill="1" applyBorder="1" applyAlignment="1">
      <alignment/>
    </xf>
    <xf numFmtId="4" fontId="0" fillId="26" borderId="22" xfId="0" applyNumberFormat="1" applyFont="1" applyFill="1" applyBorder="1" applyAlignment="1">
      <alignment/>
    </xf>
    <xf numFmtId="4" fontId="0" fillId="26" borderId="23" xfId="0" applyNumberFormat="1" applyFont="1" applyFill="1" applyBorder="1" applyAlignment="1">
      <alignment/>
    </xf>
    <xf numFmtId="4" fontId="0" fillId="26" borderId="59" xfId="0" applyNumberFormat="1" applyFont="1" applyFill="1" applyBorder="1" applyAlignment="1">
      <alignment/>
    </xf>
    <xf numFmtId="4" fontId="10" fillId="26" borderId="21" xfId="0" applyNumberFormat="1" applyFont="1" applyFill="1" applyBorder="1" applyAlignment="1">
      <alignment/>
    </xf>
    <xf numFmtId="4" fontId="11" fillId="26" borderId="33" xfId="0" applyNumberFormat="1" applyFont="1" applyFill="1" applyBorder="1" applyAlignment="1">
      <alignment wrapText="1"/>
    </xf>
    <xf numFmtId="4" fontId="0" fillId="26" borderId="33" xfId="0" applyNumberFormat="1" applyFont="1" applyFill="1" applyBorder="1" applyAlignment="1">
      <alignment wrapText="1"/>
    </xf>
    <xf numFmtId="3" fontId="12" fillId="27" borderId="50" xfId="0" applyNumberFormat="1" applyFont="1" applyFill="1" applyBorder="1" applyAlignment="1">
      <alignment horizontal="center" vertical="center" wrapText="1"/>
    </xf>
    <xf numFmtId="4" fontId="11" fillId="27" borderId="20" xfId="0" applyNumberFormat="1" applyFont="1" applyFill="1" applyBorder="1" applyAlignment="1">
      <alignment vertical="center"/>
    </xf>
    <xf numFmtId="4" fontId="11" fillId="27" borderId="58" xfId="0" applyNumberFormat="1" applyFont="1" applyFill="1" applyBorder="1" applyAlignment="1">
      <alignment vertical="center"/>
    </xf>
    <xf numFmtId="4" fontId="9" fillId="27" borderId="21" xfId="0" applyNumberFormat="1" applyFont="1" applyFill="1" applyBorder="1" applyAlignment="1">
      <alignment vertical="center"/>
    </xf>
    <xf numFmtId="4" fontId="8" fillId="27" borderId="20" xfId="0" applyNumberFormat="1" applyFont="1" applyFill="1" applyBorder="1" applyAlignment="1">
      <alignment vertical="center"/>
    </xf>
    <xf numFmtId="4" fontId="8" fillId="27" borderId="58" xfId="0" applyNumberFormat="1" applyFont="1" applyFill="1" applyBorder="1" applyAlignment="1">
      <alignment vertical="center"/>
    </xf>
    <xf numFmtId="4" fontId="9" fillId="20" borderId="6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distributed"/>
    </xf>
    <xf numFmtId="4" fontId="4" fillId="27" borderId="21" xfId="0" applyNumberFormat="1" applyFont="1" applyFill="1" applyBorder="1" applyAlignment="1">
      <alignment vertical="center"/>
    </xf>
    <xf numFmtId="4" fontId="4" fillId="27" borderId="20" xfId="0" applyNumberFormat="1" applyFont="1" applyFill="1" applyBorder="1" applyAlignment="1">
      <alignment vertical="center"/>
    </xf>
    <xf numFmtId="4" fontId="4" fillId="27" borderId="58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3" fontId="4" fillId="22" borderId="21" xfId="0" applyNumberFormat="1" applyFont="1" applyFill="1" applyBorder="1" applyAlignment="1">
      <alignment vertical="center"/>
    </xf>
    <xf numFmtId="3" fontId="8" fillId="22" borderId="21" xfId="0" applyNumberFormat="1" applyFont="1" applyFill="1" applyBorder="1" applyAlignment="1">
      <alignment vertical="center"/>
    </xf>
    <xf numFmtId="4" fontId="8" fillId="20" borderId="60" xfId="0" applyNumberFormat="1" applyFont="1" applyFill="1" applyBorder="1" applyAlignment="1">
      <alignment vertical="center"/>
    </xf>
    <xf numFmtId="3" fontId="4" fillId="24" borderId="6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8" fillId="3" borderId="0" xfId="0" applyNumberFormat="1" applyFont="1" applyFill="1" applyBorder="1" applyAlignment="1">
      <alignment/>
    </xf>
    <xf numFmtId="4" fontId="10" fillId="26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3" fontId="4" fillId="24" borderId="0" xfId="0" applyNumberFormat="1" applyFont="1" applyFill="1" applyBorder="1" applyAlignment="1">
      <alignment vertical="center" wrapText="1"/>
    </xf>
    <xf numFmtId="0" fontId="5" fillId="20" borderId="21" xfId="0" applyFont="1" applyFill="1" applyBorder="1" applyAlignment="1">
      <alignment horizontal="center" vertical="center" wrapText="1"/>
    </xf>
    <xf numFmtId="3" fontId="5" fillId="20" borderId="20" xfId="0" applyNumberFormat="1" applyFont="1" applyFill="1" applyBorder="1" applyAlignment="1">
      <alignment vertical="center"/>
    </xf>
    <xf numFmtId="3" fontId="5" fillId="24" borderId="6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61" xfId="0" applyFont="1" applyFill="1" applyBorder="1" applyAlignment="1">
      <alignment horizontal="center" vertical="center" wrapText="1"/>
    </xf>
    <xf numFmtId="4" fontId="0" fillId="26" borderId="33" xfId="0" applyNumberFormat="1" applyFont="1" applyFill="1" applyBorder="1" applyAlignment="1">
      <alignment/>
    </xf>
    <xf numFmtId="4" fontId="0" fillId="26" borderId="17" xfId="0" applyNumberFormat="1" applyFont="1" applyFill="1" applyBorder="1" applyAlignment="1">
      <alignment/>
    </xf>
    <xf numFmtId="4" fontId="0" fillId="26" borderId="11" xfId="0" applyNumberFormat="1" applyFont="1" applyFill="1" applyBorder="1" applyAlignment="1">
      <alignment/>
    </xf>
    <xf numFmtId="4" fontId="0" fillId="26" borderId="38" xfId="0" applyNumberFormat="1" applyFont="1" applyFill="1" applyBorder="1" applyAlignment="1">
      <alignment/>
    </xf>
    <xf numFmtId="4" fontId="0" fillId="26" borderId="60" xfId="0" applyNumberFormat="1" applyFont="1" applyFill="1" applyBorder="1" applyAlignment="1">
      <alignment/>
    </xf>
    <xf numFmtId="4" fontId="15" fillId="26" borderId="60" xfId="0" applyNumberFormat="1" applyFont="1" applyFill="1" applyBorder="1" applyAlignment="1">
      <alignment/>
    </xf>
    <xf numFmtId="4" fontId="0" fillId="26" borderId="0" xfId="0" applyNumberFormat="1" applyFont="1" applyFill="1" applyAlignment="1">
      <alignment/>
    </xf>
    <xf numFmtId="4" fontId="0" fillId="26" borderId="12" xfId="0" applyNumberFormat="1" applyFont="1" applyFill="1" applyBorder="1" applyAlignment="1">
      <alignment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56" xfId="0" applyNumberFormat="1" applyFont="1" applyBorder="1" applyAlignment="1">
      <alignment horizontal="center" vertical="center" wrapText="1"/>
    </xf>
    <xf numFmtId="4" fontId="0" fillId="0" borderId="62" xfId="0" applyNumberFormat="1" applyFont="1" applyBorder="1" applyAlignment="1">
      <alignment horizontal="center" vertical="center" wrapText="1"/>
    </xf>
    <xf numFmtId="4" fontId="0" fillId="26" borderId="33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 vertical="center"/>
    </xf>
    <xf numFmtId="4" fontId="0" fillId="26" borderId="17" xfId="0" applyNumberFormat="1" applyFont="1" applyFill="1" applyBorder="1" applyAlignment="1">
      <alignment/>
    </xf>
    <xf numFmtId="4" fontId="0" fillId="0" borderId="63" xfId="0" applyNumberFormat="1" applyFont="1" applyBorder="1" applyAlignment="1">
      <alignment horizontal="center" vertical="center" wrapText="1"/>
    </xf>
    <xf numFmtId="4" fontId="0" fillId="26" borderId="51" xfId="0" applyNumberFormat="1" applyFont="1" applyFill="1" applyBorder="1" applyAlignment="1">
      <alignment/>
    </xf>
    <xf numFmtId="4" fontId="0" fillId="26" borderId="32" xfId="0" applyNumberFormat="1" applyFont="1" applyFill="1" applyBorder="1" applyAlignment="1">
      <alignment/>
    </xf>
    <xf numFmtId="4" fontId="0" fillId="26" borderId="26" xfId="0" applyNumberFormat="1" applyFont="1" applyFill="1" applyBorder="1" applyAlignment="1">
      <alignment/>
    </xf>
    <xf numFmtId="3" fontId="0" fillId="24" borderId="40" xfId="0" applyNumberFormat="1" applyFont="1" applyFill="1" applyBorder="1" applyAlignment="1">
      <alignment wrapText="1"/>
    </xf>
    <xf numFmtId="3" fontId="4" fillId="5" borderId="19" xfId="0" applyNumberFormat="1" applyFont="1" applyFill="1" applyBorder="1" applyAlignment="1">
      <alignment wrapText="1"/>
    </xf>
    <xf numFmtId="3" fontId="5" fillId="26" borderId="61" xfId="0" applyNumberFormat="1" applyFont="1" applyFill="1" applyBorder="1" applyAlignment="1">
      <alignment horizontal="center" vertical="center"/>
    </xf>
    <xf numFmtId="4" fontId="9" fillId="4" borderId="59" xfId="0" applyNumberFormat="1" applyFont="1" applyFill="1" applyBorder="1" applyAlignment="1">
      <alignment horizontal="center" vertical="center" wrapText="1"/>
    </xf>
    <xf numFmtId="4" fontId="9" fillId="0" borderId="64" xfId="0" applyNumberFormat="1" applyFont="1" applyFill="1" applyBorder="1" applyAlignment="1">
      <alignment vertical="center"/>
    </xf>
    <xf numFmtId="4" fontId="9" fillId="0" borderId="65" xfId="0" applyNumberFormat="1" applyFont="1" applyFill="1" applyBorder="1" applyAlignment="1">
      <alignment vertical="center"/>
    </xf>
    <xf numFmtId="4" fontId="11" fillId="25" borderId="65" xfId="0" applyNumberFormat="1" applyFont="1" applyFill="1" applyBorder="1" applyAlignment="1">
      <alignment vertical="center" wrapText="1"/>
    </xf>
    <xf numFmtId="4" fontId="13" fillId="0" borderId="65" xfId="0" applyNumberFormat="1" applyFont="1" applyFill="1" applyBorder="1" applyAlignment="1">
      <alignment vertical="center"/>
    </xf>
    <xf numFmtId="3" fontId="8" fillId="22" borderId="65" xfId="0" applyNumberFormat="1" applyFont="1" applyFill="1" applyBorder="1" applyAlignment="1">
      <alignment vertical="center"/>
    </xf>
    <xf numFmtId="3" fontId="4" fillId="22" borderId="65" xfId="0" applyNumberFormat="1" applyFont="1" applyFill="1" applyBorder="1" applyAlignment="1">
      <alignment vertical="center"/>
    </xf>
    <xf numFmtId="4" fontId="4" fillId="25" borderId="65" xfId="0" applyNumberFormat="1" applyFont="1" applyFill="1" applyBorder="1" applyAlignment="1">
      <alignment vertical="center"/>
    </xf>
    <xf numFmtId="4" fontId="4" fillId="0" borderId="65" xfId="0" applyNumberFormat="1" applyFont="1" applyFill="1" applyBorder="1" applyAlignment="1">
      <alignment vertical="center"/>
    </xf>
    <xf numFmtId="4" fontId="10" fillId="0" borderId="66" xfId="0" applyNumberFormat="1" applyFont="1" applyFill="1" applyBorder="1" applyAlignment="1">
      <alignment horizontal="center" vertical="center" wrapText="1"/>
    </xf>
    <xf numFmtId="4" fontId="9" fillId="4" borderId="60" xfId="0" applyNumberFormat="1" applyFont="1" applyFill="1" applyBorder="1" applyAlignment="1">
      <alignment horizontal="center" vertical="center" wrapText="1"/>
    </xf>
    <xf numFmtId="4" fontId="0" fillId="0" borderId="67" xfId="0" applyNumberFormat="1" applyFont="1" applyBorder="1" applyAlignment="1">
      <alignment horizontal="center" vertical="center" wrapText="1"/>
    </xf>
    <xf numFmtId="4" fontId="0" fillId="0" borderId="50" xfId="0" applyNumberFormat="1" applyFont="1" applyBorder="1" applyAlignment="1">
      <alignment horizontal="center" vertical="center" wrapText="1"/>
    </xf>
    <xf numFmtId="4" fontId="0" fillId="0" borderId="68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4" fontId="0" fillId="0" borderId="55" xfId="0" applyNumberFormat="1" applyFill="1" applyBorder="1" applyAlignment="1">
      <alignment vertical="center"/>
    </xf>
    <xf numFmtId="4" fontId="0" fillId="0" borderId="53" xfId="0" applyNumberFormat="1" applyFill="1" applyBorder="1" applyAlignment="1">
      <alignment vertical="center"/>
    </xf>
    <xf numFmtId="4" fontId="4" fillId="20" borderId="25" xfId="0" applyNumberFormat="1" applyFont="1" applyFill="1" applyBorder="1" applyAlignment="1">
      <alignment vertical="center"/>
    </xf>
    <xf numFmtId="4" fontId="0" fillId="0" borderId="27" xfId="0" applyNumberFormat="1" applyFill="1" applyBorder="1" applyAlignment="1">
      <alignment vertical="center"/>
    </xf>
    <xf numFmtId="4" fontId="0" fillId="0" borderId="42" xfId="0" applyNumberFormat="1" applyFill="1" applyBorder="1" applyAlignment="1">
      <alignment vertical="center"/>
    </xf>
    <xf numFmtId="4" fontId="0" fillId="0" borderId="43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53" xfId="0" applyNumberFormat="1" applyFont="1" applyFill="1" applyBorder="1" applyAlignment="1">
      <alignment vertical="center"/>
    </xf>
    <xf numFmtId="4" fontId="0" fillId="0" borderId="52" xfId="0" applyNumberFormat="1" applyFont="1" applyFill="1" applyBorder="1" applyAlignment="1">
      <alignment vertical="center"/>
    </xf>
    <xf numFmtId="4" fontId="0" fillId="0" borderId="51" xfId="0" applyNumberFormat="1" applyFont="1" applyFill="1" applyBorder="1" applyAlignment="1">
      <alignment vertical="center"/>
    </xf>
    <xf numFmtId="4" fontId="0" fillId="0" borderId="65" xfId="0" applyNumberFormat="1" applyFill="1" applyBorder="1" applyAlignment="1">
      <alignment vertical="center"/>
    </xf>
    <xf numFmtId="4" fontId="0" fillId="0" borderId="55" xfId="0" applyNumberFormat="1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/>
    </xf>
    <xf numFmtId="4" fontId="4" fillId="24" borderId="60" xfId="0" applyNumberFormat="1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distributed"/>
    </xf>
    <xf numFmtId="4" fontId="10" fillId="0" borderId="0" xfId="0" applyNumberFormat="1" applyFont="1" applyFill="1" applyAlignment="1">
      <alignment/>
    </xf>
    <xf numFmtId="4" fontId="10" fillId="26" borderId="61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 vertical="center"/>
    </xf>
    <xf numFmtId="4" fontId="10" fillId="0" borderId="18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8" fillId="27" borderId="25" xfId="0" applyNumberFormat="1" applyFont="1" applyFill="1" applyBorder="1" applyAlignment="1">
      <alignment vertical="center"/>
    </xf>
    <xf numFmtId="4" fontId="0" fillId="0" borderId="43" xfId="0" applyNumberFormat="1" applyFont="1" applyBorder="1" applyAlignment="1">
      <alignment horizontal="center" vertical="center" wrapText="1"/>
    </xf>
    <xf numFmtId="4" fontId="10" fillId="26" borderId="11" xfId="0" applyNumberFormat="1" applyFont="1" applyFill="1" applyBorder="1" applyAlignment="1">
      <alignment/>
    </xf>
    <xf numFmtId="4" fontId="10" fillId="26" borderId="36" xfId="0" applyNumberFormat="1" applyFont="1" applyFill="1" applyBorder="1" applyAlignment="1">
      <alignment/>
    </xf>
    <xf numFmtId="4" fontId="10" fillId="4" borderId="28" xfId="0" applyNumberFormat="1" applyFont="1" applyFill="1" applyBorder="1" applyAlignment="1">
      <alignment vertical="center"/>
    </xf>
    <xf numFmtId="0" fontId="10" fillId="4" borderId="32" xfId="0" applyFont="1" applyFill="1" applyBorder="1" applyAlignment="1">
      <alignment vertical="center"/>
    </xf>
    <xf numFmtId="0" fontId="10" fillId="4" borderId="28" xfId="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vertical="center"/>
    </xf>
    <xf numFmtId="4" fontId="10" fillId="4" borderId="32" xfId="0" applyNumberFormat="1" applyFont="1" applyFill="1" applyBorder="1" applyAlignment="1">
      <alignment vertical="center"/>
    </xf>
    <xf numFmtId="0" fontId="10" fillId="4" borderId="24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4" fontId="9" fillId="4" borderId="11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9" fillId="0" borderId="18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9" fillId="5" borderId="19" xfId="0" applyNumberFormat="1" applyFont="1" applyFill="1" applyBorder="1" applyAlignment="1">
      <alignment wrapText="1"/>
    </xf>
    <xf numFmtId="3" fontId="4" fillId="24" borderId="25" xfId="0" applyNumberFormat="1" applyFont="1" applyFill="1" applyBorder="1" applyAlignment="1">
      <alignment/>
    </xf>
    <xf numFmtId="4" fontId="0" fillId="0" borderId="69" xfId="0" applyNumberFormat="1" applyFill="1" applyBorder="1" applyAlignment="1">
      <alignment vertical="center"/>
    </xf>
    <xf numFmtId="3" fontId="4" fillId="25" borderId="18" xfId="0" applyNumberFormat="1" applyFont="1" applyFill="1" applyBorder="1" applyAlignment="1">
      <alignment/>
    </xf>
    <xf numFmtId="3" fontId="4" fillId="25" borderId="40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 horizontal="center" vertical="center" wrapText="1"/>
    </xf>
    <xf numFmtId="3" fontId="5" fillId="5" borderId="20" xfId="0" applyNumberFormat="1" applyFont="1" applyFill="1" applyBorder="1" applyAlignment="1">
      <alignment vertical="center"/>
    </xf>
    <xf numFmtId="4" fontId="0" fillId="26" borderId="70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3" fontId="0" fillId="24" borderId="58" xfId="0" applyNumberFormat="1" applyFont="1" applyFill="1" applyBorder="1" applyAlignment="1">
      <alignment wrapText="1"/>
    </xf>
    <xf numFmtId="3" fontId="4" fillId="5" borderId="58" xfId="0" applyNumberFormat="1" applyFont="1" applyFill="1" applyBorder="1" applyAlignment="1">
      <alignment wrapText="1"/>
    </xf>
    <xf numFmtId="3" fontId="5" fillId="15" borderId="21" xfId="0" applyNumberFormat="1" applyFont="1" applyFill="1" applyBorder="1" applyAlignment="1">
      <alignment vertical="center" wrapText="1"/>
    </xf>
    <xf numFmtId="4" fontId="4" fillId="25" borderId="2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distributed"/>
    </xf>
    <xf numFmtId="3" fontId="33" fillId="0" borderId="0" xfId="0" applyNumberFormat="1" applyFont="1" applyFill="1" applyAlignment="1">
      <alignment vertical="distributed"/>
    </xf>
    <xf numFmtId="3" fontId="3" fillId="21" borderId="21" xfId="0" applyNumberFormat="1" applyFont="1" applyFill="1" applyBorder="1" applyAlignment="1">
      <alignment/>
    </xf>
    <xf numFmtId="3" fontId="3" fillId="21" borderId="18" xfId="0" applyNumberFormat="1" applyFont="1" applyFill="1" applyBorder="1" applyAlignment="1">
      <alignment vertical="center"/>
    </xf>
    <xf numFmtId="3" fontId="3" fillId="21" borderId="19" xfId="0" applyNumberFormat="1" applyFont="1" applyFill="1" applyBorder="1" applyAlignment="1">
      <alignment vertical="center"/>
    </xf>
    <xf numFmtId="3" fontId="3" fillId="21" borderId="21" xfId="0" applyNumberFormat="1" applyFont="1" applyFill="1" applyBorder="1" applyAlignment="1">
      <alignment vertical="center"/>
    </xf>
    <xf numFmtId="3" fontId="3" fillId="21" borderId="25" xfId="0" applyNumberFormat="1" applyFont="1" applyFill="1" applyBorder="1" applyAlignment="1">
      <alignment vertical="center"/>
    </xf>
    <xf numFmtId="3" fontId="3" fillId="21" borderId="2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3" fillId="24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/>
    </xf>
    <xf numFmtId="3" fontId="3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vertical="distributed"/>
    </xf>
    <xf numFmtId="4" fontId="5" fillId="0" borderId="0" xfId="0" applyNumberFormat="1" applyFont="1" applyFill="1" applyAlignment="1">
      <alignment vertical="distributed"/>
    </xf>
    <xf numFmtId="4" fontId="0" fillId="26" borderId="33" xfId="0" applyNumberFormat="1" applyFont="1" applyFill="1" applyBorder="1" applyAlignment="1">
      <alignment horizontal="center"/>
    </xf>
    <xf numFmtId="4" fontId="9" fillId="3" borderId="33" xfId="0" applyNumberFormat="1" applyFont="1" applyFill="1" applyBorder="1" applyAlignment="1">
      <alignment horizontal="right" vertical="distributed"/>
    </xf>
    <xf numFmtId="4" fontId="8" fillId="3" borderId="44" xfId="0" applyNumberFormat="1" applyFont="1" applyFill="1" applyBorder="1" applyAlignment="1">
      <alignment/>
    </xf>
    <xf numFmtId="4" fontId="9" fillId="3" borderId="33" xfId="0" applyNumberFormat="1" applyFont="1" applyFill="1" applyBorder="1" applyAlignment="1">
      <alignment vertical="distributed"/>
    </xf>
    <xf numFmtId="4" fontId="4" fillId="24" borderId="35" xfId="0" applyNumberFormat="1" applyFont="1" applyFill="1" applyBorder="1" applyAlignment="1">
      <alignment horizontal="center"/>
    </xf>
    <xf numFmtId="4" fontId="4" fillId="25" borderId="0" xfId="0" applyNumberFormat="1" applyFont="1" applyFill="1" applyBorder="1" applyAlignment="1">
      <alignment horizontal="center"/>
    </xf>
    <xf numFmtId="4" fontId="0" fillId="26" borderId="16" xfId="0" applyNumberFormat="1" applyFont="1" applyFill="1" applyBorder="1" applyAlignment="1">
      <alignment/>
    </xf>
    <xf numFmtId="4" fontId="10" fillId="0" borderId="63" xfId="0" applyNumberFormat="1" applyFont="1" applyFill="1" applyBorder="1" applyAlignment="1">
      <alignment horizontal="center" vertical="center" wrapText="1"/>
    </xf>
    <xf numFmtId="4" fontId="0" fillId="0" borderId="64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4" fillId="0" borderId="71" xfId="0" applyNumberFormat="1" applyFont="1" applyFill="1" applyBorder="1" applyAlignment="1">
      <alignment vertical="center"/>
    </xf>
    <xf numFmtId="4" fontId="4" fillId="0" borderId="69" xfId="0" applyNumberFormat="1" applyFont="1" applyFill="1" applyBorder="1" applyAlignment="1">
      <alignment vertical="center"/>
    </xf>
    <xf numFmtId="4" fontId="4" fillId="0" borderId="59" xfId="0" applyNumberFormat="1" applyFont="1" applyFill="1" applyBorder="1" applyAlignment="1">
      <alignment vertical="center"/>
    </xf>
    <xf numFmtId="4" fontId="4" fillId="0" borderId="63" xfId="0" applyNumberFormat="1" applyFont="1" applyFill="1" applyBorder="1" applyAlignment="1">
      <alignment vertical="center"/>
    </xf>
    <xf numFmtId="4" fontId="4" fillId="4" borderId="45" xfId="0" applyNumberFormat="1" applyFont="1" applyFill="1" applyBorder="1" applyAlignment="1">
      <alignment wrapText="1"/>
    </xf>
    <xf numFmtId="4" fontId="0" fillId="26" borderId="51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/>
    </xf>
    <xf numFmtId="4" fontId="4" fillId="25" borderId="18" xfId="0" applyNumberFormat="1" applyFont="1" applyFill="1" applyBorder="1" applyAlignment="1">
      <alignment/>
    </xf>
    <xf numFmtId="4" fontId="4" fillId="25" borderId="40" xfId="0" applyNumberFormat="1" applyFont="1" applyFill="1" applyBorder="1" applyAlignment="1">
      <alignment/>
    </xf>
    <xf numFmtId="3" fontId="4" fillId="26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25" borderId="2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20" borderId="21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/>
    </xf>
    <xf numFmtId="3" fontId="4" fillId="5" borderId="40" xfId="0" applyNumberFormat="1" applyFont="1" applyFill="1" applyBorder="1" applyAlignment="1">
      <alignment wrapText="1"/>
    </xf>
    <xf numFmtId="3" fontId="4" fillId="27" borderId="21" xfId="0" applyNumberFormat="1" applyFont="1" applyFill="1" applyBorder="1" applyAlignment="1">
      <alignment vertical="center"/>
    </xf>
    <xf numFmtId="3" fontId="8" fillId="3" borderId="21" xfId="0" applyNumberFormat="1" applyFont="1" applyFill="1" applyBorder="1" applyAlignment="1">
      <alignment vertical="distributed"/>
    </xf>
    <xf numFmtId="3" fontId="8" fillId="3" borderId="25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/>
    </xf>
    <xf numFmtId="4" fontId="10" fillId="26" borderId="35" xfId="0" applyNumberFormat="1" applyFont="1" applyFill="1" applyBorder="1" applyAlignment="1">
      <alignment wrapText="1"/>
    </xf>
    <xf numFmtId="4" fontId="10" fillId="0" borderId="47" xfId="0" applyNumberFormat="1" applyFont="1" applyFill="1" applyBorder="1" applyAlignment="1">
      <alignment vertical="center"/>
    </xf>
    <xf numFmtId="4" fontId="10" fillId="0" borderId="72" xfId="0" applyNumberFormat="1" applyFont="1" applyFill="1" applyBorder="1" applyAlignment="1">
      <alignment vertical="center"/>
    </xf>
    <xf numFmtId="4" fontId="10" fillId="0" borderId="63" xfId="0" applyNumberFormat="1" applyFont="1" applyFill="1" applyBorder="1" applyAlignment="1">
      <alignment vertical="center"/>
    </xf>
    <xf numFmtId="4" fontId="10" fillId="0" borderId="35" xfId="0" applyNumberFormat="1" applyFont="1" applyFill="1" applyBorder="1" applyAlignment="1">
      <alignment vertical="center"/>
    </xf>
    <xf numFmtId="4" fontId="10" fillId="0" borderId="46" xfId="0" applyNumberFormat="1" applyFont="1" applyFill="1" applyBorder="1" applyAlignment="1">
      <alignment vertical="center"/>
    </xf>
    <xf numFmtId="4" fontId="10" fillId="0" borderId="64" xfId="0" applyNumberFormat="1" applyFont="1" applyFill="1" applyBorder="1" applyAlignment="1">
      <alignment vertical="center"/>
    </xf>
    <xf numFmtId="4" fontId="9" fillId="20" borderId="25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/>
    </xf>
    <xf numFmtId="4" fontId="10" fillId="0" borderId="40" xfId="0" applyNumberFormat="1" applyFont="1" applyFill="1" applyBorder="1" applyAlignment="1">
      <alignment/>
    </xf>
    <xf numFmtId="4" fontId="10" fillId="4" borderId="18" xfId="0" applyNumberFormat="1" applyFont="1" applyFill="1" applyBorder="1" applyAlignment="1">
      <alignment wrapText="1"/>
    </xf>
    <xf numFmtId="4" fontId="10" fillId="24" borderId="19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vertical="center" wrapText="1"/>
    </xf>
    <xf numFmtId="4" fontId="9" fillId="24" borderId="21" xfId="0" applyNumberFormat="1" applyFont="1" applyFill="1" applyBorder="1" applyAlignment="1">
      <alignment vertical="center" wrapText="1"/>
    </xf>
    <xf numFmtId="0" fontId="9" fillId="4" borderId="48" xfId="0" applyFont="1" applyFill="1" applyBorder="1" applyAlignment="1">
      <alignment vertical="center"/>
    </xf>
    <xf numFmtId="4" fontId="10" fillId="4" borderId="73" xfId="0" applyNumberFormat="1" applyFont="1" applyFill="1" applyBorder="1" applyAlignment="1">
      <alignment vertical="center"/>
    </xf>
    <xf numFmtId="4" fontId="9" fillId="4" borderId="21" xfId="0" applyNumberFormat="1" applyFont="1" applyFill="1" applyBorder="1" applyAlignment="1">
      <alignment vertical="center"/>
    </xf>
    <xf numFmtId="0" fontId="10" fillId="4" borderId="45" xfId="0" applyFont="1" applyFill="1" applyBorder="1" applyAlignment="1">
      <alignment vertical="center"/>
    </xf>
    <xf numFmtId="0" fontId="10" fillId="4" borderId="74" xfId="0" applyFont="1" applyFill="1" applyBorder="1" applyAlignment="1">
      <alignment vertical="center"/>
    </xf>
    <xf numFmtId="4" fontId="10" fillId="4" borderId="18" xfId="0" applyNumberFormat="1" applyFont="1" applyFill="1" applyBorder="1" applyAlignment="1">
      <alignment vertical="center"/>
    </xf>
    <xf numFmtId="4" fontId="10" fillId="4" borderId="21" xfId="0" applyNumberFormat="1" applyFont="1" applyFill="1" applyBorder="1" applyAlignment="1">
      <alignment vertical="center"/>
    </xf>
    <xf numFmtId="4" fontId="8" fillId="3" borderId="21" xfId="0" applyNumberFormat="1" applyFont="1" applyFill="1" applyBorder="1" applyAlignment="1">
      <alignment vertical="distributed"/>
    </xf>
    <xf numFmtId="4" fontId="8" fillId="3" borderId="25" xfId="0" applyNumberFormat="1" applyFont="1" applyFill="1" applyBorder="1" applyAlignment="1">
      <alignment horizontal="right"/>
    </xf>
    <xf numFmtId="4" fontId="4" fillId="21" borderId="21" xfId="0" applyNumberFormat="1" applyFont="1" applyFill="1" applyBorder="1" applyAlignment="1">
      <alignment horizontal="center" vertical="center" wrapText="1"/>
    </xf>
    <xf numFmtId="4" fontId="4" fillId="7" borderId="21" xfId="0" applyNumberFormat="1" applyFont="1" applyFill="1" applyBorder="1" applyAlignment="1">
      <alignment horizontal="center" vertical="center" wrapText="1"/>
    </xf>
    <xf numFmtId="4" fontId="4" fillId="21" borderId="20" xfId="0" applyNumberFormat="1" applyFont="1" applyFill="1" applyBorder="1" applyAlignment="1">
      <alignment vertical="center"/>
    </xf>
    <xf numFmtId="4" fontId="4" fillId="7" borderId="20" xfId="0" applyNumberFormat="1" applyFont="1" applyFill="1" applyBorder="1" applyAlignment="1">
      <alignment vertical="center"/>
    </xf>
    <xf numFmtId="4" fontId="4" fillId="21" borderId="19" xfId="0" applyNumberFormat="1" applyFont="1" applyFill="1" applyBorder="1" applyAlignment="1">
      <alignment vertical="center"/>
    </xf>
    <xf numFmtId="4" fontId="4" fillId="21" borderId="58" xfId="0" applyNumberFormat="1" applyFont="1" applyFill="1" applyBorder="1" applyAlignment="1">
      <alignment vertical="center"/>
    </xf>
    <xf numFmtId="4" fontId="4" fillId="21" borderId="25" xfId="0" applyNumberFormat="1" applyFont="1" applyFill="1" applyBorder="1" applyAlignment="1">
      <alignment vertical="center"/>
    </xf>
    <xf numFmtId="4" fontId="4" fillId="7" borderId="25" xfId="0" applyNumberFormat="1" applyFont="1" applyFill="1" applyBorder="1" applyAlignment="1">
      <alignment vertical="center"/>
    </xf>
    <xf numFmtId="4" fontId="4" fillId="21" borderId="50" xfId="0" applyNumberFormat="1" applyFont="1" applyFill="1" applyBorder="1" applyAlignment="1">
      <alignment vertical="center"/>
    </xf>
    <xf numFmtId="4" fontId="4" fillId="21" borderId="21" xfId="0" applyNumberFormat="1" applyFont="1" applyFill="1" applyBorder="1" applyAlignment="1">
      <alignment vertical="center"/>
    </xf>
    <xf numFmtId="4" fontId="4" fillId="7" borderId="21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 wrapText="1"/>
    </xf>
    <xf numFmtId="4" fontId="4" fillId="0" borderId="63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4" fillId="24" borderId="21" xfId="0" applyNumberFormat="1" applyFont="1" applyFill="1" applyBorder="1" applyAlignment="1">
      <alignment vertical="center" wrapText="1"/>
    </xf>
    <xf numFmtId="4" fontId="4" fillId="24" borderId="59" xfId="0" applyNumberFormat="1" applyFont="1" applyFill="1" applyBorder="1" applyAlignment="1">
      <alignment vertical="center" wrapText="1"/>
    </xf>
    <xf numFmtId="3" fontId="5" fillId="21" borderId="60" xfId="0" applyNumberFormat="1" applyFont="1" applyFill="1" applyBorder="1" applyAlignment="1" quotePrefix="1">
      <alignment horizontal="center" vertical="center" wrapText="1"/>
    </xf>
    <xf numFmtId="0" fontId="10" fillId="4" borderId="31" xfId="0" applyFont="1" applyFill="1" applyBorder="1" applyAlignment="1">
      <alignment vertical="center"/>
    </xf>
    <xf numFmtId="4" fontId="10" fillId="4" borderId="26" xfId="0" applyNumberFormat="1" applyFont="1" applyFill="1" applyBorder="1" applyAlignment="1">
      <alignment vertical="center"/>
    </xf>
    <xf numFmtId="4" fontId="10" fillId="4" borderId="31" xfId="0" applyNumberFormat="1" applyFont="1" applyFill="1" applyBorder="1" applyAlignment="1">
      <alignment vertical="center"/>
    </xf>
    <xf numFmtId="4" fontId="10" fillId="4" borderId="37" xfId="0" applyNumberFormat="1" applyFont="1" applyFill="1" applyBorder="1" applyAlignment="1">
      <alignment vertical="center"/>
    </xf>
    <xf numFmtId="0" fontId="10" fillId="4" borderId="26" xfId="0" applyFont="1" applyFill="1" applyBorder="1" applyAlignment="1">
      <alignment vertical="center"/>
    </xf>
    <xf numFmtId="0" fontId="10" fillId="4" borderId="41" xfId="0" applyFont="1" applyFill="1" applyBorder="1" applyAlignment="1">
      <alignment vertical="center"/>
    </xf>
    <xf numFmtId="4" fontId="9" fillId="4" borderId="62" xfId="0" applyNumberFormat="1" applyFont="1" applyFill="1" applyBorder="1" applyAlignment="1">
      <alignment vertical="center"/>
    </xf>
    <xf numFmtId="0" fontId="10" fillId="4" borderId="75" xfId="0" applyFont="1" applyFill="1" applyBorder="1" applyAlignment="1">
      <alignment vertical="center"/>
    </xf>
    <xf numFmtId="4" fontId="9" fillId="4" borderId="36" xfId="0" applyNumberFormat="1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3" fontId="3" fillId="21" borderId="61" xfId="0" applyNumberFormat="1" applyFont="1" applyFill="1" applyBorder="1" applyAlignment="1">
      <alignment/>
    </xf>
    <xf numFmtId="3" fontId="5" fillId="21" borderId="66" xfId="0" applyNumberFormat="1" applyFont="1" applyFill="1" applyBorder="1" applyAlignment="1" quotePrefix="1">
      <alignment horizontal="center" vertical="center" wrapText="1"/>
    </xf>
    <xf numFmtId="3" fontId="3" fillId="21" borderId="58" xfId="0" applyNumberFormat="1" applyFont="1" applyFill="1" applyBorder="1" applyAlignment="1">
      <alignment vertical="center"/>
    </xf>
    <xf numFmtId="3" fontId="5" fillId="20" borderId="25" xfId="0" applyNumberFormat="1" applyFont="1" applyFill="1" applyBorder="1" applyAlignment="1">
      <alignment vertical="center"/>
    </xf>
    <xf numFmtId="4" fontId="13" fillId="0" borderId="69" xfId="0" applyNumberFormat="1" applyFont="1" applyFill="1" applyBorder="1" applyAlignment="1">
      <alignment vertical="center"/>
    </xf>
    <xf numFmtId="4" fontId="13" fillId="0" borderId="64" xfId="0" applyNumberFormat="1" applyFont="1" applyFill="1" applyBorder="1" applyAlignment="1">
      <alignment vertical="center"/>
    </xf>
    <xf numFmtId="3" fontId="8" fillId="22" borderId="54" xfId="0" applyNumberFormat="1" applyFont="1" applyFill="1" applyBorder="1" applyAlignment="1">
      <alignment vertical="center"/>
    </xf>
    <xf numFmtId="4" fontId="10" fillId="0" borderId="49" xfId="0" applyNumberFormat="1" applyFont="1" applyFill="1" applyBorder="1" applyAlignment="1">
      <alignment vertical="center"/>
    </xf>
    <xf numFmtId="4" fontId="11" fillId="0" borderId="50" xfId="0" applyNumberFormat="1" applyFont="1" applyFill="1" applyBorder="1" applyAlignment="1">
      <alignment vertical="center"/>
    </xf>
    <xf numFmtId="3" fontId="4" fillId="22" borderId="54" xfId="0" applyNumberFormat="1" applyFont="1" applyFill="1" applyBorder="1" applyAlignment="1">
      <alignment vertical="center"/>
    </xf>
    <xf numFmtId="4" fontId="9" fillId="0" borderId="49" xfId="0" applyNumberFormat="1" applyFont="1" applyFill="1" applyBorder="1" applyAlignment="1">
      <alignment vertical="center"/>
    </xf>
    <xf numFmtId="4" fontId="8" fillId="0" borderId="50" xfId="0" applyNumberFormat="1" applyFont="1" applyFill="1" applyBorder="1" applyAlignment="1">
      <alignment vertical="center"/>
    </xf>
    <xf numFmtId="4" fontId="4" fillId="0" borderId="64" xfId="0" applyNumberFormat="1" applyFont="1" applyFill="1" applyBorder="1" applyAlignment="1">
      <alignment vertical="center"/>
    </xf>
    <xf numFmtId="3" fontId="3" fillId="21" borderId="50" xfId="0" applyNumberFormat="1" applyFont="1" applyFill="1" applyBorder="1" applyAlignment="1">
      <alignment vertical="center"/>
    </xf>
    <xf numFmtId="4" fontId="10" fillId="25" borderId="35" xfId="0" applyNumberFormat="1" applyFont="1" applyFill="1" applyBorder="1" applyAlignment="1">
      <alignment vertical="center"/>
    </xf>
    <xf numFmtId="4" fontId="9" fillId="0" borderId="69" xfId="0" applyNumberFormat="1" applyFont="1" applyFill="1" applyBorder="1" applyAlignment="1">
      <alignment vertical="center"/>
    </xf>
    <xf numFmtId="4" fontId="11" fillId="25" borderId="54" xfId="0" applyNumberFormat="1" applyFont="1" applyFill="1" applyBorder="1" applyAlignment="1">
      <alignment vertical="center" wrapText="1"/>
    </xf>
    <xf numFmtId="3" fontId="4" fillId="27" borderId="54" xfId="0" applyNumberFormat="1" applyFont="1" applyFill="1" applyBorder="1" applyAlignment="1">
      <alignment vertical="center"/>
    </xf>
    <xf numFmtId="4" fontId="4" fillId="10" borderId="21" xfId="0" applyNumberFormat="1" applyFont="1" applyFill="1" applyBorder="1" applyAlignment="1">
      <alignment vertical="center"/>
    </xf>
    <xf numFmtId="4" fontId="4" fillId="10" borderId="43" xfId="0" applyNumberFormat="1" applyFont="1" applyFill="1" applyBorder="1" applyAlignment="1">
      <alignment vertical="center"/>
    </xf>
    <xf numFmtId="4" fontId="4" fillId="10" borderId="26" xfId="0" applyNumberFormat="1" applyFont="1" applyFill="1" applyBorder="1" applyAlignment="1">
      <alignment vertical="center"/>
    </xf>
    <xf numFmtId="3" fontId="9" fillId="3" borderId="33" xfId="0" applyNumberFormat="1" applyFont="1" applyFill="1" applyBorder="1" applyAlignment="1">
      <alignment vertical="distributed"/>
    </xf>
    <xf numFmtId="3" fontId="8" fillId="3" borderId="44" xfId="0" applyNumberFormat="1" applyFont="1" applyFill="1" applyBorder="1" applyAlignment="1">
      <alignment/>
    </xf>
    <xf numFmtId="3" fontId="8" fillId="25" borderId="21" xfId="0" applyNumberFormat="1" applyFont="1" applyFill="1" applyBorder="1" applyAlignment="1">
      <alignment vertical="center" wrapText="1"/>
    </xf>
    <xf numFmtId="3" fontId="4" fillId="25" borderId="21" xfId="0" applyNumberFormat="1" applyFont="1" applyFill="1" applyBorder="1" applyAlignment="1">
      <alignment vertical="center"/>
    </xf>
    <xf numFmtId="3" fontId="5" fillId="21" borderId="58" xfId="0" applyNumberFormat="1" applyFont="1" applyFill="1" applyBorder="1" applyAlignment="1">
      <alignment vertical="center"/>
    </xf>
    <xf numFmtId="4" fontId="8" fillId="25" borderId="18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25" borderId="40" xfId="0" applyNumberFormat="1" applyFont="1" applyFill="1" applyBorder="1" applyAlignment="1">
      <alignment/>
    </xf>
    <xf numFmtId="4" fontId="8" fillId="0" borderId="40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4" fontId="8" fillId="4" borderId="18" xfId="0" applyNumberFormat="1" applyFont="1" applyFill="1" applyBorder="1" applyAlignment="1">
      <alignment wrapText="1"/>
    </xf>
    <xf numFmtId="4" fontId="11" fillId="4" borderId="18" xfId="0" applyNumberFormat="1" applyFont="1" applyFill="1" applyBorder="1" applyAlignment="1">
      <alignment wrapText="1"/>
    </xf>
    <xf numFmtId="4" fontId="9" fillId="0" borderId="0" xfId="0" applyNumberFormat="1" applyFont="1" applyFill="1" applyAlignment="1">
      <alignment vertical="distributed"/>
    </xf>
    <xf numFmtId="4" fontId="9" fillId="3" borderId="21" xfId="0" applyNumberFormat="1" applyFont="1" applyFill="1" applyBorder="1" applyAlignment="1">
      <alignment vertical="distributed"/>
    </xf>
    <xf numFmtId="4" fontId="9" fillId="3" borderId="25" xfId="0" applyNumberFormat="1" applyFont="1" applyFill="1" applyBorder="1" applyAlignment="1">
      <alignment horizontal="right"/>
    </xf>
    <xf numFmtId="4" fontId="9" fillId="20" borderId="16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vertical="center"/>
    </xf>
    <xf numFmtId="4" fontId="9" fillId="0" borderId="26" xfId="0" applyNumberFormat="1" applyFont="1" applyFill="1" applyBorder="1" applyAlignment="1">
      <alignment vertical="center"/>
    </xf>
    <xf numFmtId="4" fontId="9" fillId="25" borderId="21" xfId="0" applyNumberFormat="1" applyFont="1" applyFill="1" applyBorder="1" applyAlignment="1">
      <alignment vertical="center"/>
    </xf>
    <xf numFmtId="4" fontId="9" fillId="0" borderId="43" xfId="0" applyNumberFormat="1" applyFont="1" applyFill="1" applyBorder="1" applyAlignment="1">
      <alignment vertical="center"/>
    </xf>
    <xf numFmtId="4" fontId="9" fillId="0" borderId="36" xfId="0" applyNumberFormat="1" applyFont="1" applyFill="1" applyBorder="1" applyAlignment="1">
      <alignment vertical="center"/>
    </xf>
    <xf numFmtId="4" fontId="9" fillId="25" borderId="18" xfId="0" applyNumberFormat="1" applyFont="1" applyFill="1" applyBorder="1" applyAlignment="1">
      <alignment/>
    </xf>
    <xf numFmtId="4" fontId="9" fillId="25" borderId="40" xfId="0" applyNumberFormat="1" applyFont="1" applyFill="1" applyBorder="1" applyAlignment="1">
      <alignment/>
    </xf>
    <xf numFmtId="4" fontId="9" fillId="4" borderId="18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4" fontId="35" fillId="0" borderId="0" xfId="0" applyNumberFormat="1" applyFont="1" applyFill="1" applyAlignment="1">
      <alignment vertical="distributed"/>
    </xf>
    <xf numFmtId="4" fontId="10" fillId="0" borderId="19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0" fillId="0" borderId="58" xfId="0" applyNumberFormat="1" applyFont="1" applyFill="1" applyBorder="1" applyAlignment="1">
      <alignment vertical="center"/>
    </xf>
    <xf numFmtId="4" fontId="9" fillId="20" borderId="60" xfId="0" applyNumberFormat="1" applyFont="1" applyFill="1" applyBorder="1" applyAlignment="1">
      <alignment vertical="center"/>
    </xf>
    <xf numFmtId="4" fontId="9" fillId="0" borderId="40" xfId="0" applyNumberFormat="1" applyFont="1" applyFill="1" applyBorder="1" applyAlignment="1">
      <alignment/>
    </xf>
    <xf numFmtId="4" fontId="9" fillId="24" borderId="25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/>
    </xf>
    <xf numFmtId="4" fontId="8" fillId="20" borderId="21" xfId="0" applyNumberFormat="1" applyFont="1" applyFill="1" applyBorder="1" applyAlignment="1">
      <alignment vertical="center"/>
    </xf>
    <xf numFmtId="0" fontId="14" fillId="3" borderId="42" xfId="0" applyFont="1" applyFill="1" applyBorder="1" applyAlignment="1">
      <alignment wrapText="1"/>
    </xf>
    <xf numFmtId="3" fontId="3" fillId="5" borderId="25" xfId="0" applyNumberFormat="1" applyFont="1" applyFill="1" applyBorder="1" applyAlignment="1">
      <alignment vertical="center"/>
    </xf>
    <xf numFmtId="14" fontId="0" fillId="0" borderId="0" xfId="0" applyNumberFormat="1" applyFill="1" applyAlignment="1">
      <alignment wrapText="1"/>
    </xf>
    <xf numFmtId="4" fontId="10" fillId="0" borderId="58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4" fontId="10" fillId="25" borderId="2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28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 vertical="center"/>
    </xf>
    <xf numFmtId="3" fontId="4" fillId="0" borderId="32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/>
    </xf>
    <xf numFmtId="4" fontId="10" fillId="0" borderId="31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43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3" fontId="4" fillId="0" borderId="0" xfId="0" applyNumberFormat="1" applyFont="1" applyFill="1" applyBorder="1" applyAlignment="1" quotePrefix="1">
      <alignment vertical="center" wrapText="1"/>
    </xf>
    <xf numFmtId="4" fontId="9" fillId="25" borderId="61" xfId="0" applyNumberFormat="1" applyFont="1" applyFill="1" applyBorder="1" applyAlignment="1">
      <alignment vertical="center"/>
    </xf>
    <xf numFmtId="4" fontId="4" fillId="25" borderId="61" xfId="0" applyNumberFormat="1" applyFont="1" applyFill="1" applyBorder="1" applyAlignment="1">
      <alignment vertical="center"/>
    </xf>
    <xf numFmtId="4" fontId="8" fillId="20" borderId="50" xfId="0" applyNumberFormat="1" applyFont="1" applyFill="1" applyBorder="1" applyAlignment="1">
      <alignment vertical="center"/>
    </xf>
    <xf numFmtId="3" fontId="4" fillId="25" borderId="61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distributed"/>
    </xf>
    <xf numFmtId="3" fontId="0" fillId="26" borderId="21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vertical="center"/>
    </xf>
    <xf numFmtId="3" fontId="0" fillId="0" borderId="58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4" fillId="25" borderId="25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vertical="center"/>
    </xf>
    <xf numFmtId="3" fontId="5" fillId="21" borderId="50" xfId="0" applyNumberFormat="1" applyFont="1" applyFill="1" applyBorder="1" applyAlignment="1">
      <alignment horizontal="center" vertical="center" wrapText="1"/>
    </xf>
    <xf numFmtId="4" fontId="0" fillId="0" borderId="54" xfId="0" applyNumberForma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25" borderId="35" xfId="0" applyNumberFormat="1" applyFont="1" applyFill="1" applyBorder="1" applyAlignment="1">
      <alignment vertical="center"/>
    </xf>
    <xf numFmtId="3" fontId="0" fillId="0" borderId="77" xfId="0" applyNumberFormat="1" applyFill="1" applyBorder="1" applyAlignment="1">
      <alignment vertical="center"/>
    </xf>
    <xf numFmtId="3" fontId="0" fillId="0" borderId="78" xfId="0" applyNumberFormat="1" applyFill="1" applyBorder="1" applyAlignment="1">
      <alignment vertical="center"/>
    </xf>
    <xf numFmtId="3" fontId="0" fillId="0" borderId="76" xfId="0" applyNumberFormat="1" applyFill="1" applyBorder="1" applyAlignment="1">
      <alignment vertical="center"/>
    </xf>
    <xf numFmtId="3" fontId="0" fillId="0" borderId="66" xfId="0" applyNumberFormat="1" applyFill="1" applyBorder="1" applyAlignment="1">
      <alignment vertical="center"/>
    </xf>
    <xf numFmtId="3" fontId="0" fillId="0" borderId="61" xfId="0" applyNumberFormat="1" applyFill="1" applyBorder="1" applyAlignment="1">
      <alignment vertical="center"/>
    </xf>
    <xf numFmtId="3" fontId="4" fillId="25" borderId="66" xfId="0" applyNumberFormat="1" applyFont="1" applyFill="1" applyBorder="1" applyAlignment="1">
      <alignment vertical="center"/>
    </xf>
    <xf numFmtId="3" fontId="4" fillId="5" borderId="79" xfId="0" applyNumberFormat="1" applyFont="1" applyFill="1" applyBorder="1" applyAlignment="1">
      <alignment vertical="center"/>
    </xf>
    <xf numFmtId="3" fontId="9" fillId="25" borderId="21" xfId="0" applyNumberFormat="1" applyFont="1" applyFill="1" applyBorder="1" applyAlignment="1">
      <alignment vertical="center"/>
    </xf>
    <xf numFmtId="3" fontId="9" fillId="25" borderId="21" xfId="0" applyNumberFormat="1" applyFont="1" applyFill="1" applyBorder="1" applyAlignment="1">
      <alignment vertical="center"/>
    </xf>
    <xf numFmtId="4" fontId="8" fillId="3" borderId="35" xfId="0" applyNumberFormat="1" applyFont="1" applyFill="1" applyBorder="1" applyAlignment="1">
      <alignment vertical="distributed"/>
    </xf>
    <xf numFmtId="4" fontId="8" fillId="3" borderId="63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vertical="center"/>
    </xf>
    <xf numFmtId="4" fontId="8" fillId="20" borderId="49" xfId="0" applyNumberFormat="1" applyFont="1" applyFill="1" applyBorder="1" applyAlignment="1">
      <alignment vertical="center"/>
    </xf>
    <xf numFmtId="4" fontId="4" fillId="25" borderId="45" xfId="0" applyNumberFormat="1" applyFont="1" applyFill="1" applyBorder="1" applyAlignment="1">
      <alignment/>
    </xf>
    <xf numFmtId="4" fontId="4" fillId="25" borderId="74" xfId="0" applyNumberFormat="1" applyFont="1" applyFill="1" applyBorder="1" applyAlignment="1">
      <alignment/>
    </xf>
    <xf numFmtId="4" fontId="4" fillId="0" borderId="63" xfId="0" applyNumberFormat="1" applyFont="1" applyFill="1" applyBorder="1" applyAlignment="1">
      <alignment/>
    </xf>
    <xf numFmtId="3" fontId="4" fillId="5" borderId="74" xfId="0" applyNumberFormat="1" applyFont="1" applyFill="1" applyBorder="1" applyAlignment="1">
      <alignment wrapText="1"/>
    </xf>
    <xf numFmtId="4" fontId="8" fillId="3" borderId="61" xfId="0" applyNumberFormat="1" applyFont="1" applyFill="1" applyBorder="1" applyAlignment="1">
      <alignment vertical="distributed"/>
    </xf>
    <xf numFmtId="4" fontId="8" fillId="3" borderId="66" xfId="0" applyNumberFormat="1" applyFont="1" applyFill="1" applyBorder="1" applyAlignment="1">
      <alignment horizontal="right"/>
    </xf>
    <xf numFmtId="4" fontId="8" fillId="20" borderId="61" xfId="0" applyNumberFormat="1" applyFont="1" applyFill="1" applyBorder="1" applyAlignment="1">
      <alignment vertical="center"/>
    </xf>
    <xf numFmtId="4" fontId="4" fillId="25" borderId="80" xfId="0" applyNumberFormat="1" applyFont="1" applyFill="1" applyBorder="1" applyAlignment="1">
      <alignment/>
    </xf>
    <xf numFmtId="4" fontId="4" fillId="25" borderId="75" xfId="0" applyNumberFormat="1" applyFont="1" applyFill="1" applyBorder="1" applyAlignment="1">
      <alignment/>
    </xf>
    <xf numFmtId="4" fontId="4" fillId="0" borderId="66" xfId="0" applyNumberFormat="1" applyFont="1" applyFill="1" applyBorder="1" applyAlignment="1">
      <alignment/>
    </xf>
    <xf numFmtId="4" fontId="4" fillId="4" borderId="80" xfId="0" applyNumberFormat="1" applyFont="1" applyFill="1" applyBorder="1" applyAlignment="1">
      <alignment wrapText="1"/>
    </xf>
    <xf numFmtId="3" fontId="4" fillId="5" borderId="75" xfId="0" applyNumberFormat="1" applyFont="1" applyFill="1" applyBorder="1" applyAlignment="1">
      <alignment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vertical="center" wrapText="1"/>
    </xf>
    <xf numFmtId="4" fontId="10" fillId="0" borderId="59" xfId="0" applyNumberFormat="1" applyFont="1" applyFill="1" applyBorder="1" applyAlignment="1">
      <alignment vertical="center"/>
    </xf>
    <xf numFmtId="4" fontId="11" fillId="0" borderId="60" xfId="0" applyNumberFormat="1" applyFont="1" applyFill="1" applyBorder="1" applyAlignment="1">
      <alignment vertical="center"/>
    </xf>
    <xf numFmtId="4" fontId="4" fillId="0" borderId="73" xfId="0" applyNumberFormat="1" applyFont="1" applyFill="1" applyBorder="1" applyAlignment="1">
      <alignment vertical="center"/>
    </xf>
    <xf numFmtId="4" fontId="4" fillId="0" borderId="81" xfId="0" applyNumberFormat="1" applyFont="1" applyFill="1" applyBorder="1" applyAlignment="1">
      <alignment vertical="center"/>
    </xf>
    <xf numFmtId="4" fontId="4" fillId="0" borderId="70" xfId="0" applyNumberFormat="1" applyFont="1" applyFill="1" applyBorder="1" applyAlignment="1">
      <alignment vertical="center"/>
    </xf>
    <xf numFmtId="3" fontId="3" fillId="5" borderId="60" xfId="0" applyNumberFormat="1" applyFont="1" applyFill="1" applyBorder="1" applyAlignment="1">
      <alignment vertical="center"/>
    </xf>
    <xf numFmtId="3" fontId="4" fillId="5" borderId="60" xfId="0" applyNumberFormat="1" applyFont="1" applyFill="1" applyBorder="1" applyAlignment="1">
      <alignment vertical="center"/>
    </xf>
    <xf numFmtId="3" fontId="4" fillId="5" borderId="23" xfId="0" applyNumberFormat="1" applyFont="1" applyFill="1" applyBorder="1" applyAlignment="1">
      <alignment vertical="center"/>
    </xf>
    <xf numFmtId="4" fontId="0" fillId="5" borderId="82" xfId="0" applyNumberFormat="1" applyFill="1" applyBorder="1" applyAlignment="1">
      <alignment vertical="center"/>
    </xf>
    <xf numFmtId="4" fontId="0" fillId="5" borderId="81" xfId="0" applyNumberFormat="1" applyFill="1" applyBorder="1" applyAlignment="1">
      <alignment vertical="center"/>
    </xf>
    <xf numFmtId="4" fontId="0" fillId="5" borderId="70" xfId="0" applyNumberFormat="1" applyFill="1" applyBorder="1" applyAlignment="1">
      <alignment vertical="center"/>
    </xf>
    <xf numFmtId="4" fontId="0" fillId="0" borderId="73" xfId="0" applyNumberFormat="1" applyFill="1" applyBorder="1" applyAlignment="1">
      <alignment vertical="center"/>
    </xf>
    <xf numFmtId="4" fontId="0" fillId="0" borderId="81" xfId="0" applyNumberFormat="1" applyFill="1" applyBorder="1" applyAlignment="1">
      <alignment vertical="center"/>
    </xf>
    <xf numFmtId="4" fontId="0" fillId="0" borderId="70" xfId="0" applyNumberFormat="1" applyFill="1" applyBorder="1" applyAlignment="1">
      <alignment vertical="center"/>
    </xf>
    <xf numFmtId="4" fontId="0" fillId="0" borderId="83" xfId="0" applyNumberFormat="1" applyFill="1" applyBorder="1" applyAlignment="1">
      <alignment vertical="center"/>
    </xf>
    <xf numFmtId="4" fontId="0" fillId="0" borderId="60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4" fillId="0" borderId="83" xfId="0" applyNumberFormat="1" applyFont="1" applyFill="1" applyBorder="1" applyAlignment="1">
      <alignment vertical="center"/>
    </xf>
    <xf numFmtId="4" fontId="0" fillId="0" borderId="82" xfId="0" applyNumberFormat="1" applyFill="1" applyBorder="1" applyAlignment="1">
      <alignment vertical="center"/>
    </xf>
    <xf numFmtId="4" fontId="9" fillId="0" borderId="70" xfId="0" applyNumberFormat="1" applyFont="1" applyFill="1" applyBorder="1" applyAlignment="1">
      <alignment vertical="center"/>
    </xf>
    <xf numFmtId="4" fontId="0" fillId="0" borderId="82" xfId="0" applyNumberFormat="1" applyFont="1" applyFill="1" applyBorder="1" applyAlignment="1">
      <alignment vertical="center"/>
    </xf>
    <xf numFmtId="4" fontId="0" fillId="0" borderId="81" xfId="0" applyNumberFormat="1" applyFont="1" applyFill="1" applyBorder="1" applyAlignment="1">
      <alignment vertical="center"/>
    </xf>
    <xf numFmtId="4" fontId="0" fillId="0" borderId="83" xfId="0" applyNumberFormat="1" applyFont="1" applyFill="1" applyBorder="1" applyAlignment="1">
      <alignment vertical="center"/>
    </xf>
    <xf numFmtId="4" fontId="0" fillId="0" borderId="73" xfId="0" applyNumberFormat="1" applyFont="1" applyFill="1" applyBorder="1" applyAlignment="1">
      <alignment vertical="center"/>
    </xf>
    <xf numFmtId="4" fontId="0" fillId="0" borderId="70" xfId="0" applyNumberFormat="1" applyFont="1" applyFill="1" applyBorder="1" applyAlignment="1">
      <alignment vertical="center"/>
    </xf>
    <xf numFmtId="4" fontId="4" fillId="0" borderId="82" xfId="0" applyNumberFormat="1" applyFont="1" applyFill="1" applyBorder="1" applyAlignment="1">
      <alignment vertical="center"/>
    </xf>
    <xf numFmtId="4" fontId="4" fillId="21" borderId="60" xfId="0" applyNumberFormat="1" applyFont="1" applyFill="1" applyBorder="1" applyAlignment="1">
      <alignment vertical="center"/>
    </xf>
    <xf numFmtId="4" fontId="4" fillId="7" borderId="60" xfId="0" applyNumberFormat="1" applyFont="1" applyFill="1" applyBorder="1" applyAlignment="1">
      <alignment vertical="center"/>
    </xf>
    <xf numFmtId="4" fontId="10" fillId="0" borderId="60" xfId="0" applyNumberFormat="1" applyFont="1" applyFill="1" applyBorder="1" applyAlignment="1">
      <alignment vertical="center"/>
    </xf>
    <xf numFmtId="4" fontId="9" fillId="4" borderId="73" xfId="0" applyNumberFormat="1" applyFont="1" applyFill="1" applyBorder="1" applyAlignment="1">
      <alignment vertical="center"/>
    </xf>
    <xf numFmtId="0" fontId="9" fillId="4" borderId="70" xfId="0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4" fontId="4" fillId="0" borderId="48" xfId="0" applyNumberFormat="1" applyFont="1" applyFill="1" applyBorder="1" applyAlignment="1">
      <alignment vertical="center"/>
    </xf>
    <xf numFmtId="4" fontId="4" fillId="0" borderId="56" xfId="0" applyNumberFormat="1" applyFont="1" applyFill="1" applyBorder="1" applyAlignment="1">
      <alignment vertical="center"/>
    </xf>
    <xf numFmtId="4" fontId="4" fillId="0" borderId="62" xfId="0" applyNumberFormat="1" applyFont="1" applyFill="1" applyBorder="1" applyAlignment="1">
      <alignment vertical="center"/>
    </xf>
    <xf numFmtId="3" fontId="3" fillId="5" borderId="50" xfId="0" applyNumberFormat="1" applyFont="1" applyFill="1" applyBorder="1" applyAlignment="1">
      <alignment vertical="center"/>
    </xf>
    <xf numFmtId="3" fontId="4" fillId="5" borderId="50" xfId="0" applyNumberFormat="1" applyFont="1" applyFill="1" applyBorder="1" applyAlignment="1">
      <alignment vertical="center"/>
    </xf>
    <xf numFmtId="4" fontId="0" fillId="5" borderId="84" xfId="0" applyNumberFormat="1" applyFill="1" applyBorder="1" applyAlignment="1">
      <alignment vertical="center"/>
    </xf>
    <xf numFmtId="4" fontId="0" fillId="5" borderId="56" xfId="0" applyNumberFormat="1" applyFill="1" applyBorder="1" applyAlignment="1">
      <alignment vertical="center"/>
    </xf>
    <xf numFmtId="4" fontId="0" fillId="5" borderId="62" xfId="0" applyNumberFormat="1" applyFill="1" applyBorder="1" applyAlignment="1">
      <alignment vertical="center"/>
    </xf>
    <xf numFmtId="4" fontId="0" fillId="0" borderId="48" xfId="0" applyNumberFormat="1" applyFill="1" applyBorder="1" applyAlignment="1">
      <alignment vertical="center"/>
    </xf>
    <xf numFmtId="4" fontId="0" fillId="0" borderId="56" xfId="0" applyNumberFormat="1" applyFill="1" applyBorder="1" applyAlignment="1">
      <alignment vertical="center"/>
    </xf>
    <xf numFmtId="4" fontId="0" fillId="0" borderId="62" xfId="0" applyNumberFormat="1" applyFill="1" applyBorder="1" applyAlignment="1">
      <alignment vertical="center"/>
    </xf>
    <xf numFmtId="4" fontId="0" fillId="0" borderId="57" xfId="0" applyNumberFormat="1" applyFill="1" applyBorder="1" applyAlignment="1">
      <alignment vertical="center"/>
    </xf>
    <xf numFmtId="4" fontId="0" fillId="0" borderId="50" xfId="0" applyNumberFormat="1" applyFill="1" applyBorder="1" applyAlignment="1">
      <alignment vertical="center"/>
    </xf>
    <xf numFmtId="4" fontId="0" fillId="0" borderId="49" xfId="0" applyNumberFormat="1" applyFill="1" applyBorder="1" applyAlignment="1">
      <alignment vertical="center"/>
    </xf>
    <xf numFmtId="4" fontId="4" fillId="0" borderId="57" xfId="0" applyNumberFormat="1" applyFont="1" applyFill="1" applyBorder="1" applyAlignment="1">
      <alignment vertical="center"/>
    </xf>
    <xf numFmtId="4" fontId="0" fillId="0" borderId="84" xfId="0" applyNumberFormat="1" applyFill="1" applyBorder="1" applyAlignment="1">
      <alignment vertical="center"/>
    </xf>
    <xf numFmtId="4" fontId="9" fillId="0" borderId="62" xfId="0" applyNumberFormat="1" applyFont="1" applyFill="1" applyBorder="1" applyAlignment="1">
      <alignment vertical="center"/>
    </xf>
    <xf numFmtId="4" fontId="10" fillId="0" borderId="50" xfId="0" applyNumberFormat="1" applyFont="1" applyFill="1" applyBorder="1" applyAlignment="1">
      <alignment vertical="center"/>
    </xf>
    <xf numFmtId="0" fontId="10" fillId="4" borderId="48" xfId="0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5" fillId="20" borderId="21" xfId="0" applyNumberFormat="1" applyFont="1" applyFill="1" applyBorder="1" applyAlignment="1">
      <alignment vertical="center"/>
    </xf>
    <xf numFmtId="4" fontId="10" fillId="20" borderId="35" xfId="0" applyNumberFormat="1" applyFont="1" applyFill="1" applyBorder="1" applyAlignment="1">
      <alignment vertical="center"/>
    </xf>
    <xf numFmtId="4" fontId="11" fillId="20" borderId="21" xfId="0" applyNumberFormat="1" applyFont="1" applyFill="1" applyBorder="1" applyAlignment="1">
      <alignment vertical="center"/>
    </xf>
    <xf numFmtId="4" fontId="4" fillId="20" borderId="11" xfId="0" applyNumberFormat="1" applyFont="1" applyFill="1" applyBorder="1" applyAlignment="1">
      <alignment vertical="center"/>
    </xf>
    <xf numFmtId="4" fontId="4" fillId="20" borderId="38" xfId="0" applyNumberFormat="1" applyFont="1" applyFill="1" applyBorder="1" applyAlignment="1">
      <alignment vertical="center"/>
    </xf>
    <xf numFmtId="4" fontId="4" fillId="20" borderId="36" xfId="0" applyNumberFormat="1" applyFont="1" applyFill="1" applyBorder="1" applyAlignment="1">
      <alignment vertical="center"/>
    </xf>
    <xf numFmtId="4" fontId="4" fillId="20" borderId="54" xfId="0" applyNumberFormat="1" applyFont="1" applyFill="1" applyBorder="1" applyAlignment="1">
      <alignment vertical="center"/>
    </xf>
    <xf numFmtId="3" fontId="3" fillId="20" borderId="21" xfId="0" applyNumberFormat="1" applyFont="1" applyFill="1" applyBorder="1" applyAlignment="1">
      <alignment vertical="center"/>
    </xf>
    <xf numFmtId="4" fontId="10" fillId="20" borderId="21" xfId="0" applyNumberFormat="1" applyFont="1" applyFill="1" applyBorder="1" applyAlignment="1">
      <alignment vertical="center"/>
    </xf>
    <xf numFmtId="4" fontId="0" fillId="20" borderId="36" xfId="0" applyNumberFormat="1" applyFill="1" applyBorder="1" applyAlignment="1">
      <alignment vertical="center"/>
    </xf>
    <xf numFmtId="4" fontId="0" fillId="20" borderId="54" xfId="0" applyNumberFormat="1" applyFill="1" applyBorder="1" applyAlignment="1">
      <alignment vertical="center"/>
    </xf>
    <xf numFmtId="3" fontId="0" fillId="20" borderId="21" xfId="0" applyNumberFormat="1" applyFill="1" applyBorder="1" applyAlignment="1">
      <alignment vertical="center"/>
    </xf>
    <xf numFmtId="3" fontId="0" fillId="20" borderId="61" xfId="0" applyNumberFormat="1" applyFill="1" applyBorder="1" applyAlignment="1">
      <alignment vertical="center"/>
    </xf>
    <xf numFmtId="4" fontId="0" fillId="20" borderId="55" xfId="0" applyNumberFormat="1" applyFill="1" applyBorder="1" applyAlignment="1">
      <alignment vertical="center"/>
    </xf>
    <xf numFmtId="4" fontId="0" fillId="20" borderId="38" xfId="0" applyNumberFormat="1" applyFill="1" applyBorder="1" applyAlignment="1">
      <alignment vertical="center"/>
    </xf>
    <xf numFmtId="4" fontId="0" fillId="20" borderId="11" xfId="0" applyNumberFormat="1" applyFill="1" applyBorder="1" applyAlignment="1">
      <alignment vertical="center"/>
    </xf>
    <xf numFmtId="4" fontId="0" fillId="20" borderId="12" xfId="0" applyNumberFormat="1" applyFill="1" applyBorder="1" applyAlignment="1">
      <alignment vertical="center"/>
    </xf>
    <xf numFmtId="4" fontId="0" fillId="20" borderId="21" xfId="0" applyNumberFormat="1" applyFill="1" applyBorder="1" applyAlignment="1">
      <alignment vertical="center"/>
    </xf>
    <xf numFmtId="4" fontId="0" fillId="20" borderId="35" xfId="0" applyNumberFormat="1" applyFill="1" applyBorder="1" applyAlignment="1">
      <alignment vertical="center"/>
    </xf>
    <xf numFmtId="4" fontId="4" fillId="20" borderId="12" xfId="0" applyNumberFormat="1" applyFont="1" applyFill="1" applyBorder="1" applyAlignment="1">
      <alignment vertical="center"/>
    </xf>
    <xf numFmtId="4" fontId="9" fillId="20" borderId="36" xfId="0" applyNumberFormat="1" applyFont="1" applyFill="1" applyBorder="1" applyAlignment="1">
      <alignment vertical="center"/>
    </xf>
    <xf numFmtId="4" fontId="0" fillId="20" borderId="55" xfId="0" applyNumberFormat="1" applyFont="1" applyFill="1" applyBorder="1" applyAlignment="1">
      <alignment vertical="center"/>
    </xf>
    <xf numFmtId="4" fontId="0" fillId="20" borderId="38" xfId="0" applyNumberFormat="1" applyFont="1" applyFill="1" applyBorder="1" applyAlignment="1">
      <alignment vertical="center"/>
    </xf>
    <xf numFmtId="4" fontId="0" fillId="20" borderId="12" xfId="0" applyNumberFormat="1" applyFont="1" applyFill="1" applyBorder="1" applyAlignment="1">
      <alignment vertical="center"/>
    </xf>
    <xf numFmtId="4" fontId="0" fillId="20" borderId="11" xfId="0" applyNumberFormat="1" applyFont="1" applyFill="1" applyBorder="1" applyAlignment="1">
      <alignment vertical="center"/>
    </xf>
    <xf numFmtId="4" fontId="0" fillId="20" borderId="36" xfId="0" applyNumberFormat="1" applyFont="1" applyFill="1" applyBorder="1" applyAlignment="1">
      <alignment vertical="center"/>
    </xf>
    <xf numFmtId="4" fontId="4" fillId="20" borderId="55" xfId="0" applyNumberFormat="1" applyFont="1" applyFill="1" applyBorder="1" applyAlignment="1">
      <alignment vertical="center"/>
    </xf>
    <xf numFmtId="4" fontId="4" fillId="20" borderId="21" xfId="0" applyNumberFormat="1" applyFont="1" applyFill="1" applyBorder="1" applyAlignment="1">
      <alignment vertical="center"/>
    </xf>
    <xf numFmtId="4" fontId="10" fillId="20" borderId="21" xfId="0" applyNumberFormat="1" applyFont="1" applyFill="1" applyBorder="1" applyAlignment="1">
      <alignment vertical="center"/>
    </xf>
    <xf numFmtId="0" fontId="10" fillId="20" borderId="36" xfId="0" applyFont="1" applyFill="1" applyBorder="1" applyAlignment="1">
      <alignment vertical="center"/>
    </xf>
    <xf numFmtId="0" fontId="0" fillId="20" borderId="54" xfId="0" applyFill="1" applyBorder="1" applyAlignment="1">
      <alignment vertical="center"/>
    </xf>
    <xf numFmtId="3" fontId="0" fillId="20" borderId="35" xfId="0" applyNumberFormat="1" applyFill="1" applyBorder="1" applyAlignment="1">
      <alignment vertical="center"/>
    </xf>
    <xf numFmtId="4" fontId="8" fillId="27" borderId="66" xfId="0" applyNumberFormat="1" applyFont="1" applyFill="1" applyBorder="1" applyAlignment="1">
      <alignment vertical="center"/>
    </xf>
    <xf numFmtId="4" fontId="10" fillId="0" borderId="33" xfId="0" applyNumberFormat="1" applyFont="1" applyFill="1" applyBorder="1" applyAlignment="1">
      <alignment vertical="center"/>
    </xf>
    <xf numFmtId="4" fontId="9" fillId="20" borderId="11" xfId="0" applyNumberFormat="1" applyFont="1" applyFill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4" fontId="8" fillId="20" borderId="21" xfId="0" applyNumberFormat="1" applyFont="1" applyFill="1" applyBorder="1" applyAlignment="1">
      <alignment vertical="center"/>
    </xf>
    <xf numFmtId="4" fontId="9" fillId="20" borderId="21" xfId="0" applyNumberFormat="1" applyFont="1" applyFill="1" applyBorder="1" applyAlignment="1">
      <alignment vertical="center"/>
    </xf>
    <xf numFmtId="4" fontId="9" fillId="24" borderId="60" xfId="0" applyNumberFormat="1" applyFont="1" applyFill="1" applyBorder="1" applyAlignment="1">
      <alignment vertical="center" wrapText="1"/>
    </xf>
    <xf numFmtId="0" fontId="36" fillId="0" borderId="33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25" borderId="21" xfId="0" applyNumberFormat="1" applyFont="1" applyFill="1" applyBorder="1" applyAlignment="1">
      <alignment vertical="center"/>
    </xf>
    <xf numFmtId="3" fontId="5" fillId="5" borderId="60" xfId="0" applyNumberFormat="1" applyFont="1" applyFill="1" applyBorder="1" applyAlignment="1">
      <alignment vertical="center"/>
    </xf>
    <xf numFmtId="3" fontId="5" fillId="5" borderId="50" xfId="0" applyNumberFormat="1" applyFont="1" applyFill="1" applyBorder="1" applyAlignment="1">
      <alignment vertical="center"/>
    </xf>
    <xf numFmtId="4" fontId="0" fillId="20" borderId="54" xfId="0" applyNumberFormat="1" applyFont="1" applyFill="1" applyBorder="1" applyAlignment="1">
      <alignment vertical="center" wrapText="1"/>
    </xf>
    <xf numFmtId="4" fontId="4" fillId="20" borderId="54" xfId="0" applyNumberFormat="1" applyFont="1" applyFill="1" applyBorder="1" applyAlignment="1">
      <alignment vertical="center" wrapText="1"/>
    </xf>
    <xf numFmtId="4" fontId="4" fillId="20" borderId="61" xfId="0" applyNumberFormat="1" applyFont="1" applyFill="1" applyBorder="1" applyAlignment="1">
      <alignment vertical="center" wrapText="1"/>
    </xf>
    <xf numFmtId="4" fontId="4" fillId="20" borderId="32" xfId="0" applyNumberFormat="1" applyFont="1" applyFill="1" applyBorder="1" applyAlignment="1">
      <alignment vertical="center"/>
    </xf>
    <xf numFmtId="4" fontId="0" fillId="26" borderId="76" xfId="0" applyNumberFormat="1" applyFont="1" applyFill="1" applyBorder="1" applyAlignment="1">
      <alignment/>
    </xf>
    <xf numFmtId="4" fontId="0" fillId="0" borderId="79" xfId="0" applyNumberFormat="1" applyFont="1" applyBorder="1" applyAlignment="1">
      <alignment horizontal="center" vertical="center" wrapText="1"/>
    </xf>
    <xf numFmtId="4" fontId="0" fillId="0" borderId="85" xfId="0" applyNumberForma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4" fontId="0" fillId="0" borderId="71" xfId="0" applyNumberFormat="1" applyFill="1" applyBorder="1" applyAlignment="1">
      <alignment vertical="center"/>
    </xf>
    <xf numFmtId="4" fontId="0" fillId="0" borderId="62" xfId="0" applyNumberFormat="1" applyFont="1" applyBorder="1" applyAlignment="1">
      <alignment horizontal="center" vertical="center" wrapText="1"/>
    </xf>
    <xf numFmtId="4" fontId="0" fillId="20" borderId="33" xfId="0" applyNumberForma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3" fontId="5" fillId="25" borderId="20" xfId="0" applyNumberFormat="1" applyFont="1" applyFill="1" applyBorder="1" applyAlignment="1">
      <alignment vertical="center"/>
    </xf>
    <xf numFmtId="3" fontId="9" fillId="24" borderId="25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4" fontId="4" fillId="10" borderId="21" xfId="0" applyNumberFormat="1" applyFont="1" applyFill="1" applyBorder="1" applyAlignment="1">
      <alignment vertical="center"/>
    </xf>
    <xf numFmtId="4" fontId="8" fillId="10" borderId="21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4" fontId="8" fillId="0" borderId="26" xfId="0" applyNumberFormat="1" applyFont="1" applyFill="1" applyBorder="1" applyAlignment="1">
      <alignment vertical="center"/>
    </xf>
    <xf numFmtId="4" fontId="8" fillId="0" borderId="43" xfId="0" applyNumberFormat="1" applyFont="1" applyFill="1" applyBorder="1" applyAlignment="1">
      <alignment vertical="center"/>
    </xf>
    <xf numFmtId="4" fontId="11" fillId="0" borderId="26" xfId="0" applyNumberFormat="1" applyFont="1" applyFill="1" applyBorder="1" applyAlignment="1">
      <alignment vertical="center"/>
    </xf>
    <xf numFmtId="4" fontId="8" fillId="0" borderId="18" xfId="0" applyNumberFormat="1" applyFont="1" applyFill="1" applyBorder="1" applyAlignment="1">
      <alignment vertical="center"/>
    </xf>
    <xf numFmtId="4" fontId="8" fillId="0" borderId="58" xfId="0" applyNumberFormat="1" applyFont="1" applyFill="1" applyBorder="1" applyAlignment="1">
      <alignment vertical="center"/>
    </xf>
    <xf numFmtId="4" fontId="8" fillId="0" borderId="50" xfId="0" applyNumberFormat="1" applyFont="1" applyFill="1" applyBorder="1" applyAlignment="1">
      <alignment vertical="center"/>
    </xf>
    <xf numFmtId="4" fontId="4" fillId="10" borderId="37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20" borderId="51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4" fontId="9" fillId="8" borderId="35" xfId="0" applyNumberFormat="1" applyFont="1" applyFill="1" applyBorder="1" applyAlignment="1">
      <alignment vertical="center"/>
    </xf>
    <xf numFmtId="3" fontId="4" fillId="8" borderId="21" xfId="0" applyNumberFormat="1" applyFont="1" applyFill="1" applyBorder="1" applyAlignment="1">
      <alignment vertical="center"/>
    </xf>
    <xf numFmtId="4" fontId="4" fillId="8" borderId="21" xfId="0" applyNumberFormat="1" applyFont="1" applyFill="1" applyBorder="1" applyAlignment="1">
      <alignment vertical="center"/>
    </xf>
    <xf numFmtId="4" fontId="4" fillId="8" borderId="35" xfId="0" applyNumberFormat="1" applyFont="1" applyFill="1" applyBorder="1" applyAlignment="1">
      <alignment vertical="center"/>
    </xf>
    <xf numFmtId="4" fontId="8" fillId="8" borderId="21" xfId="0" applyNumberFormat="1" applyFont="1" applyFill="1" applyBorder="1" applyAlignment="1">
      <alignment vertical="center"/>
    </xf>
    <xf numFmtId="4" fontId="4" fillId="8" borderId="61" xfId="0" applyNumberFormat="1" applyFont="1" applyFill="1" applyBorder="1" applyAlignment="1">
      <alignment vertical="center"/>
    </xf>
    <xf numFmtId="4" fontId="9" fillId="8" borderId="21" xfId="0" applyNumberFormat="1" applyFont="1" applyFill="1" applyBorder="1" applyAlignment="1">
      <alignment vertical="center"/>
    </xf>
    <xf numFmtId="4" fontId="10" fillId="8" borderId="21" xfId="0" applyNumberFormat="1" applyFont="1" applyFill="1" applyBorder="1" applyAlignment="1">
      <alignment vertical="center"/>
    </xf>
    <xf numFmtId="0" fontId="9" fillId="4" borderId="75" xfId="0" applyFont="1" applyFill="1" applyBorder="1" applyAlignment="1">
      <alignment horizontal="center" vertical="center"/>
    </xf>
    <xf numFmtId="4" fontId="9" fillId="8" borderId="74" xfId="0" applyNumberFormat="1" applyFont="1" applyFill="1" applyBorder="1" applyAlignment="1">
      <alignment horizontal="center" vertical="center"/>
    </xf>
    <xf numFmtId="0" fontId="9" fillId="8" borderId="75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3" fontId="4" fillId="15" borderId="35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5" borderId="71" xfId="0" applyFont="1" applyFill="1" applyBorder="1" applyAlignment="1">
      <alignment horizontal="center" vertical="center" wrapText="1"/>
    </xf>
    <xf numFmtId="4" fontId="9" fillId="4" borderId="74" xfId="0" applyNumberFormat="1" applyFont="1" applyFill="1" applyBorder="1" applyAlignment="1">
      <alignment horizontal="center" vertical="center"/>
    </xf>
    <xf numFmtId="0" fontId="1" fillId="20" borderId="35" xfId="0" applyFont="1" applyFill="1" applyBorder="1" applyAlignment="1">
      <alignment horizontal="center" vertical="center" wrapText="1"/>
    </xf>
    <xf numFmtId="0" fontId="1" fillId="20" borderId="5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distributed"/>
    </xf>
    <xf numFmtId="0" fontId="1" fillId="0" borderId="1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20" borderId="73" xfId="0" applyFont="1" applyFill="1" applyBorder="1" applyAlignment="1">
      <alignment horizontal="center" vertical="center" wrapText="1"/>
    </xf>
    <xf numFmtId="0" fontId="1" fillId="20" borderId="83" xfId="0" applyFont="1" applyFill="1" applyBorder="1" applyAlignment="1">
      <alignment horizontal="center" vertical="center" wrapText="1"/>
    </xf>
    <xf numFmtId="4" fontId="8" fillId="24" borderId="35" xfId="0" applyNumberFormat="1" applyFont="1" applyFill="1" applyBorder="1" applyAlignment="1">
      <alignment horizontal="center"/>
    </xf>
    <xf numFmtId="4" fontId="8" fillId="24" borderId="54" xfId="0" applyNumberFormat="1" applyFont="1" applyFill="1" applyBorder="1" applyAlignment="1">
      <alignment horizontal="center"/>
    </xf>
    <xf numFmtId="4" fontId="8" fillId="24" borderId="61" xfId="0" applyNumberFormat="1" applyFont="1" applyFill="1" applyBorder="1" applyAlignment="1">
      <alignment horizontal="center"/>
    </xf>
    <xf numFmtId="4" fontId="11" fillId="26" borderId="35" xfId="0" applyNumberFormat="1" applyFont="1" applyFill="1" applyBorder="1" applyAlignment="1">
      <alignment horizontal="center" wrapText="1"/>
    </xf>
    <xf numFmtId="4" fontId="11" fillId="26" borderId="54" xfId="0" applyNumberFormat="1" applyFont="1" applyFill="1" applyBorder="1" applyAlignment="1">
      <alignment horizontal="center" wrapText="1"/>
    </xf>
    <xf numFmtId="4" fontId="0" fillId="26" borderId="33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4" fontId="4" fillId="20" borderId="35" xfId="0" applyNumberFormat="1" applyFont="1" applyFill="1" applyBorder="1" applyAlignment="1">
      <alignment horizontal="center" vertical="center" wrapText="1"/>
    </xf>
    <xf numFmtId="4" fontId="4" fillId="20" borderId="54" xfId="0" applyNumberFormat="1" applyFont="1" applyFill="1" applyBorder="1" applyAlignment="1">
      <alignment horizontal="center" vertical="center" wrapText="1"/>
    </xf>
    <xf numFmtId="3" fontId="4" fillId="20" borderId="0" xfId="0" applyNumberFormat="1" applyFont="1" applyFill="1" applyBorder="1" applyAlignment="1" quotePrefix="1">
      <alignment horizontal="left" vertical="center"/>
    </xf>
    <xf numFmtId="3" fontId="4" fillId="20" borderId="66" xfId="0" applyNumberFormat="1" applyFont="1" applyFill="1" applyBorder="1" applyAlignment="1" quotePrefix="1">
      <alignment horizontal="left" vertical="center"/>
    </xf>
    <xf numFmtId="0" fontId="14" fillId="0" borderId="22" xfId="0" applyFont="1" applyFill="1" applyBorder="1" applyAlignment="1">
      <alignment horizontal="left" vertical="center" wrapText="1"/>
    </xf>
    <xf numFmtId="0" fontId="9" fillId="24" borderId="35" xfId="0" applyFont="1" applyFill="1" applyBorder="1" applyAlignment="1">
      <alignment horizontal="center" vertical="center" wrapText="1"/>
    </xf>
    <xf numFmtId="0" fontId="9" fillId="24" borderId="55" xfId="0" applyFont="1" applyFill="1" applyBorder="1" applyAlignment="1">
      <alignment horizontal="center" vertical="center" wrapText="1"/>
    </xf>
    <xf numFmtId="0" fontId="35" fillId="5" borderId="63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 wrapText="1"/>
    </xf>
    <xf numFmtId="0" fontId="8" fillId="26" borderId="35" xfId="0" applyFont="1" applyFill="1" applyBorder="1" applyAlignment="1">
      <alignment horizontal="center" vertical="center" wrapText="1"/>
    </xf>
    <xf numFmtId="0" fontId="8" fillId="26" borderId="54" xfId="0" applyFont="1" applyFill="1" applyBorder="1" applyAlignment="1">
      <alignment horizontal="center" vertical="center" wrapText="1"/>
    </xf>
    <xf numFmtId="4" fontId="4" fillId="4" borderId="35" xfId="0" applyNumberFormat="1" applyFont="1" applyFill="1" applyBorder="1" applyAlignment="1">
      <alignment horizontal="center" wrapText="1"/>
    </xf>
    <xf numFmtId="4" fontId="4" fillId="4" borderId="61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55"/>
  <sheetViews>
    <sheetView tabSelected="1" workbookViewId="0" topLeftCell="A1">
      <selection activeCell="DB1" sqref="DB1"/>
    </sheetView>
  </sheetViews>
  <sheetFormatPr defaultColWidth="9.140625" defaultRowHeight="12.75"/>
  <cols>
    <col min="1" max="1" width="13.140625" style="11" customWidth="1"/>
    <col min="2" max="2" width="22.00390625" style="12" customWidth="1"/>
    <col min="3" max="3" width="10.00390625" style="364" bestFit="1" customWidth="1"/>
    <col min="4" max="4" width="10.140625" style="76" hidden="1" customWidth="1"/>
    <col min="5" max="6" width="12.7109375" style="6" hidden="1" customWidth="1"/>
    <col min="7" max="7" width="16.140625" style="6" hidden="1" customWidth="1"/>
    <col min="8" max="8" width="13.140625" style="224" hidden="1" customWidth="1"/>
    <col min="9" max="9" width="8.8515625" style="84" hidden="1" customWidth="1"/>
    <col min="10" max="12" width="10.140625" style="328" hidden="1" customWidth="1"/>
    <col min="13" max="13" width="11.421875" style="328" hidden="1" customWidth="1"/>
    <col min="14" max="14" width="10.00390625" style="278" hidden="1" customWidth="1"/>
    <col min="15" max="15" width="12.28125" style="18" hidden="1" customWidth="1"/>
    <col min="16" max="16" width="2.140625" style="18" customWidth="1"/>
    <col min="17" max="18" width="9.8515625" style="114" hidden="1" customWidth="1"/>
    <col min="19" max="19" width="16.57421875" style="68" customWidth="1"/>
    <col min="20" max="20" width="11.7109375" style="18" hidden="1" customWidth="1"/>
    <col min="21" max="21" width="11.28125" style="18" hidden="1" customWidth="1"/>
    <col min="22" max="23" width="11.7109375" style="18" hidden="1" customWidth="1"/>
    <col min="24" max="24" width="12.28125" style="18" hidden="1" customWidth="1"/>
    <col min="25" max="25" width="10.140625" style="18" hidden="1" customWidth="1"/>
    <col min="26" max="28" width="11.7109375" style="18" hidden="1" customWidth="1"/>
    <col min="29" max="30" width="12.7109375" style="19" hidden="1" customWidth="1"/>
    <col min="31" max="31" width="11.7109375" style="19" hidden="1" customWidth="1"/>
    <col min="32" max="39" width="11.7109375" style="18" hidden="1" customWidth="1"/>
    <col min="40" max="40" width="11.28125" style="18" hidden="1" customWidth="1"/>
    <col min="41" max="41" width="12.7109375" style="19" hidden="1" customWidth="1"/>
    <col min="42" max="42" width="12.28125" style="19" hidden="1" customWidth="1"/>
    <col min="43" max="43" width="11.8515625" style="19" hidden="1" customWidth="1"/>
    <col min="44" max="50" width="11.7109375" style="18" hidden="1" customWidth="1"/>
    <col min="51" max="51" width="10.140625" style="18" hidden="1" customWidth="1"/>
    <col min="52" max="52" width="11.7109375" style="18" hidden="1" customWidth="1"/>
    <col min="53" max="53" width="12.7109375" style="18" hidden="1" customWidth="1"/>
    <col min="54" max="59" width="11.7109375" style="18" hidden="1" customWidth="1"/>
    <col min="60" max="60" width="11.57421875" style="18" hidden="1" customWidth="1"/>
    <col min="61" max="61" width="11.7109375" style="18" hidden="1" customWidth="1"/>
    <col min="62" max="62" width="12.57421875" style="18" hidden="1" customWidth="1"/>
    <col min="63" max="63" width="12.00390625" style="18" hidden="1" customWidth="1"/>
    <col min="64" max="64" width="11.7109375" style="18" hidden="1" customWidth="1"/>
    <col min="65" max="65" width="12.7109375" style="18" hidden="1" customWidth="1"/>
    <col min="66" max="67" width="11.7109375" style="18" hidden="1" customWidth="1"/>
    <col min="68" max="68" width="16.7109375" style="19" customWidth="1"/>
    <col min="69" max="69" width="14.00390625" style="19" customWidth="1"/>
    <col min="70" max="70" width="13.57421875" style="462" customWidth="1"/>
    <col min="71" max="71" width="8.7109375" style="28" hidden="1" customWidth="1"/>
    <col min="72" max="72" width="11.28125" style="28" hidden="1" customWidth="1"/>
    <col min="73" max="73" width="7.8515625" style="28" hidden="1" customWidth="1"/>
    <col min="74" max="74" width="8.7109375" style="28" hidden="1" customWidth="1"/>
    <col min="75" max="75" width="8.00390625" style="28" hidden="1" customWidth="1"/>
    <col min="76" max="76" width="8.7109375" style="28" hidden="1" customWidth="1"/>
    <col min="77" max="77" width="8.7109375" style="19" hidden="1" customWidth="1"/>
    <col min="78" max="78" width="8.00390625" style="19" hidden="1" customWidth="1"/>
    <col min="79" max="79" width="8.7109375" style="19" hidden="1" customWidth="1"/>
    <col min="80" max="80" width="9.140625" style="19" hidden="1" customWidth="1"/>
    <col min="81" max="81" width="8.28125" style="19" hidden="1" customWidth="1"/>
    <col min="82" max="82" width="11.57421875" style="19" hidden="1" customWidth="1"/>
    <col min="83" max="83" width="8.7109375" style="19" hidden="1" customWidth="1"/>
    <col min="84" max="84" width="8.00390625" style="19" hidden="1" customWidth="1"/>
    <col min="85" max="86" width="8.7109375" style="19" hidden="1" customWidth="1"/>
    <col min="87" max="87" width="8.00390625" style="19" hidden="1" customWidth="1"/>
    <col min="88" max="89" width="8.7109375" style="19" hidden="1" customWidth="1"/>
    <col min="90" max="90" width="8.00390625" style="19" hidden="1" customWidth="1"/>
    <col min="91" max="91" width="8.8515625" style="19" hidden="1" customWidth="1"/>
    <col min="92" max="92" width="9.140625" style="19" hidden="1" customWidth="1"/>
    <col min="93" max="93" width="8.28125" style="19" hidden="1" customWidth="1"/>
    <col min="94" max="94" width="11.57421875" style="19" hidden="1" customWidth="1"/>
    <col min="95" max="95" width="11.7109375" style="19" hidden="1" customWidth="1"/>
    <col min="96" max="97" width="12.140625" style="19" hidden="1" customWidth="1"/>
    <col min="98" max="98" width="11.8515625" style="19" hidden="1" customWidth="1"/>
    <col min="99" max="100" width="11.7109375" style="19" hidden="1" customWidth="1"/>
    <col min="101" max="101" width="11.57421875" style="19" hidden="1" customWidth="1"/>
    <col min="102" max="102" width="11.28125" style="364" customWidth="1"/>
    <col min="103" max="103" width="1.7109375" style="84" hidden="1" customWidth="1"/>
    <col min="104" max="104" width="12.28125" style="57" hidden="1" customWidth="1"/>
    <col min="105" max="105" width="10.421875" style="57" hidden="1" customWidth="1"/>
    <col min="106" max="106" width="12.7109375" style="278" customWidth="1"/>
    <col min="107" max="107" width="1.421875" style="7" hidden="1" customWidth="1"/>
    <col min="108" max="108" width="10.8515625" style="114" hidden="1" customWidth="1"/>
    <col min="109" max="109" width="12.7109375" style="57" hidden="1" customWidth="1"/>
    <col min="110" max="110" width="0" style="7" hidden="1" customWidth="1"/>
    <col min="111" max="16384" width="9.140625" style="7" customWidth="1"/>
  </cols>
  <sheetData>
    <row r="1" spans="1:108" s="82" customFormat="1" ht="12.75" customHeight="1">
      <c r="A1" s="687" t="s">
        <v>1</v>
      </c>
      <c r="B1" s="687"/>
      <c r="C1" s="687"/>
      <c r="D1" s="687"/>
      <c r="E1" s="86"/>
      <c r="F1" s="86"/>
      <c r="G1" s="86"/>
      <c r="H1" s="330"/>
      <c r="I1" s="199"/>
      <c r="J1" s="317"/>
      <c r="K1" s="317"/>
      <c r="L1" s="317"/>
      <c r="M1" s="317"/>
      <c r="N1" s="277"/>
      <c r="O1" s="329" t="s">
        <v>117</v>
      </c>
      <c r="P1" s="329"/>
      <c r="Q1" s="497"/>
      <c r="R1" s="497"/>
      <c r="S1" s="80"/>
      <c r="T1" s="81"/>
      <c r="U1" s="81"/>
      <c r="V1" s="81"/>
      <c r="W1" s="81"/>
      <c r="X1" s="81"/>
      <c r="Y1" s="81"/>
      <c r="Z1" s="81"/>
      <c r="AA1" s="81"/>
      <c r="AB1" s="81"/>
      <c r="AC1" s="94"/>
      <c r="AD1" s="94"/>
      <c r="AE1" s="94"/>
      <c r="AF1" s="81"/>
      <c r="AG1" s="81"/>
      <c r="AH1" s="81"/>
      <c r="AI1" s="81"/>
      <c r="AJ1" s="81"/>
      <c r="AK1" s="81"/>
      <c r="AL1" s="81"/>
      <c r="AM1" s="81"/>
      <c r="AN1" s="81"/>
      <c r="AO1" s="94"/>
      <c r="AP1" s="94"/>
      <c r="AQ1" s="94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94"/>
      <c r="BQ1" s="94"/>
      <c r="BR1" s="448"/>
      <c r="BS1" s="164"/>
      <c r="BT1" s="164"/>
      <c r="BU1" s="164"/>
      <c r="BV1" s="164"/>
      <c r="BW1" s="164"/>
      <c r="BX1" s="16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463"/>
      <c r="CY1" s="199"/>
      <c r="CZ1" s="85"/>
      <c r="DA1" s="85"/>
      <c r="DB1" s="329" t="s">
        <v>149</v>
      </c>
      <c r="DD1" s="113"/>
    </row>
    <row r="2" spans="1:109" s="82" customFormat="1" ht="12.75" customHeight="1" thickBot="1">
      <c r="A2" s="316"/>
      <c r="B2" s="316"/>
      <c r="C2" s="316"/>
      <c r="D2" s="316"/>
      <c r="E2" s="86"/>
      <c r="F2" s="86"/>
      <c r="G2" s="86"/>
      <c r="H2" s="330"/>
      <c r="I2" s="199"/>
      <c r="J2" s="317"/>
      <c r="K2" s="317"/>
      <c r="L2" s="317"/>
      <c r="M2" s="317"/>
      <c r="N2" s="277"/>
      <c r="O2" s="329"/>
      <c r="P2" s="329"/>
      <c r="Q2" s="497"/>
      <c r="R2" s="497"/>
      <c r="S2" s="80"/>
      <c r="T2" s="81"/>
      <c r="U2" s="81"/>
      <c r="V2" s="81"/>
      <c r="W2" s="81"/>
      <c r="X2" s="81"/>
      <c r="Y2" s="81"/>
      <c r="Z2" s="81"/>
      <c r="AA2" s="81"/>
      <c r="AB2" s="81"/>
      <c r="AC2" s="94"/>
      <c r="AD2" s="94"/>
      <c r="AE2" s="94"/>
      <c r="AF2" s="81"/>
      <c r="AG2" s="81"/>
      <c r="AH2" s="81"/>
      <c r="AI2" s="81"/>
      <c r="AJ2" s="81"/>
      <c r="AK2" s="81"/>
      <c r="AL2" s="81"/>
      <c r="AM2" s="81"/>
      <c r="AN2" s="81"/>
      <c r="AO2" s="94"/>
      <c r="AP2" s="94"/>
      <c r="AQ2" s="94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94"/>
      <c r="BQ2" s="94"/>
      <c r="BR2" s="448"/>
      <c r="BS2" s="164"/>
      <c r="BT2" s="164"/>
      <c r="BU2" s="164"/>
      <c r="BV2" s="164"/>
      <c r="BW2" s="164"/>
      <c r="BX2" s="16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463"/>
      <c r="CY2" s="199"/>
      <c r="CZ2" s="85"/>
      <c r="DA2" s="85"/>
      <c r="DB2" s="277"/>
      <c r="DD2" s="113"/>
      <c r="DE2" s="85"/>
    </row>
    <row r="3" spans="1:108" s="82" customFormat="1" ht="14.25" customHeight="1" hidden="1" thickBot="1">
      <c r="A3" s="316"/>
      <c r="B3" s="473" t="s">
        <v>120</v>
      </c>
      <c r="C3" s="332">
        <f>C5+C12</f>
        <v>562917.02</v>
      </c>
      <c r="D3" s="316"/>
      <c r="E3" s="334">
        <f aca="true" t="shared" si="0" ref="E3:M3">E5+E12</f>
        <v>3609417.67</v>
      </c>
      <c r="F3" s="334">
        <f t="shared" si="0"/>
        <v>4016788.82</v>
      </c>
      <c r="G3" s="334">
        <f t="shared" si="0"/>
        <v>1524251.1400000001</v>
      </c>
      <c r="H3" s="334">
        <f t="shared" si="0"/>
        <v>4016818</v>
      </c>
      <c r="I3" s="334">
        <f t="shared" si="0"/>
        <v>0</v>
      </c>
      <c r="J3" s="436">
        <f t="shared" si="0"/>
        <v>893000</v>
      </c>
      <c r="K3" s="436">
        <f t="shared" si="0"/>
        <v>893000</v>
      </c>
      <c r="L3" s="436">
        <f t="shared" si="0"/>
        <v>893000</v>
      </c>
      <c r="M3" s="436">
        <f t="shared" si="0"/>
        <v>2250000</v>
      </c>
      <c r="N3" s="277"/>
      <c r="O3" s="329"/>
      <c r="P3" s="329"/>
      <c r="Q3" s="360">
        <f aca="true" t="shared" si="1" ref="Q3:AV3">Q5+Q12</f>
        <v>2486970</v>
      </c>
      <c r="R3" s="360">
        <f t="shared" si="1"/>
        <v>6804880</v>
      </c>
      <c r="S3" s="360">
        <f t="shared" si="1"/>
        <v>18296381.07</v>
      </c>
      <c r="T3" s="386">
        <f t="shared" si="1"/>
        <v>961918.8300000001</v>
      </c>
      <c r="U3" s="386">
        <f t="shared" si="1"/>
        <v>891225.8600000001</v>
      </c>
      <c r="V3" s="386">
        <f t="shared" si="1"/>
        <v>1252594.74</v>
      </c>
      <c r="W3" s="386">
        <f t="shared" si="1"/>
        <v>941412.03</v>
      </c>
      <c r="X3" s="386">
        <f t="shared" si="1"/>
        <v>888589.2</v>
      </c>
      <c r="Y3" s="386">
        <f t="shared" si="1"/>
        <v>261783.59000000003</v>
      </c>
      <c r="Z3" s="386">
        <f t="shared" si="1"/>
        <v>1112909.05</v>
      </c>
      <c r="AA3" s="386">
        <f t="shared" si="1"/>
        <v>1220897.9300000002</v>
      </c>
      <c r="AB3" s="386">
        <f t="shared" si="1"/>
        <v>985000.2000000001</v>
      </c>
      <c r="AC3" s="386">
        <f t="shared" si="1"/>
        <v>3016239.91</v>
      </c>
      <c r="AD3" s="386">
        <f t="shared" si="1"/>
        <v>3000712.99</v>
      </c>
      <c r="AE3" s="386">
        <f t="shared" si="1"/>
        <v>2499378.53</v>
      </c>
      <c r="AF3" s="386">
        <f t="shared" si="1"/>
        <v>1094639.28</v>
      </c>
      <c r="AG3" s="386">
        <f t="shared" si="1"/>
        <v>2022567.5699999998</v>
      </c>
      <c r="AH3" s="386">
        <f t="shared" si="1"/>
        <v>891225.8600000001</v>
      </c>
      <c r="AI3" s="386">
        <f t="shared" si="1"/>
        <v>1075176.2</v>
      </c>
      <c r="AJ3" s="386">
        <f t="shared" si="1"/>
        <v>1373306.01</v>
      </c>
      <c r="AK3" s="386">
        <f t="shared" si="1"/>
        <v>888589.2</v>
      </c>
      <c r="AL3" s="386">
        <f t="shared" si="1"/>
        <v>1330077</v>
      </c>
      <c r="AM3" s="386">
        <f t="shared" si="1"/>
        <v>2480231.61</v>
      </c>
      <c r="AN3" s="386">
        <f t="shared" si="1"/>
        <v>617960.61</v>
      </c>
      <c r="AO3" s="386">
        <f t="shared" si="1"/>
        <v>3499892.48</v>
      </c>
      <c r="AP3" s="386">
        <f t="shared" si="1"/>
        <v>5876105.1899999995</v>
      </c>
      <c r="AQ3" s="520">
        <f t="shared" si="1"/>
        <v>2397775.67</v>
      </c>
      <c r="AR3" s="386">
        <f t="shared" si="1"/>
        <v>1330560.08</v>
      </c>
      <c r="AS3" s="386">
        <f t="shared" si="1"/>
        <v>1126977.97</v>
      </c>
      <c r="AT3" s="386">
        <f t="shared" si="1"/>
        <v>2660535.62</v>
      </c>
      <c r="AU3" s="386">
        <f t="shared" si="1"/>
        <v>1618188.63</v>
      </c>
      <c r="AV3" s="386">
        <f t="shared" si="1"/>
        <v>1679976.09</v>
      </c>
      <c r="AW3" s="449">
        <f aca="true" t="shared" si="2" ref="AW3:CB3">AW5+AW12</f>
        <v>1148275.28</v>
      </c>
      <c r="AX3" s="449">
        <f t="shared" si="2"/>
        <v>1640217.26</v>
      </c>
      <c r="AY3" s="449">
        <f t="shared" si="2"/>
        <v>900283.68</v>
      </c>
      <c r="AZ3" s="528">
        <f t="shared" si="2"/>
        <v>1749058.69</v>
      </c>
      <c r="BA3" s="386">
        <f t="shared" si="2"/>
        <v>4588965.97</v>
      </c>
      <c r="BB3" s="386">
        <f t="shared" si="2"/>
        <v>3707237.74</v>
      </c>
      <c r="BC3" s="386">
        <f t="shared" si="2"/>
        <v>5557869.59</v>
      </c>
      <c r="BD3" s="386">
        <f t="shared" si="2"/>
        <v>1519027.54</v>
      </c>
      <c r="BE3" s="386">
        <f t="shared" si="2"/>
        <v>1630237.09</v>
      </c>
      <c r="BF3" s="386">
        <f t="shared" si="2"/>
        <v>2048150.8900000001</v>
      </c>
      <c r="BG3" s="386">
        <f t="shared" si="2"/>
        <v>1847660.96</v>
      </c>
      <c r="BH3" s="386">
        <f t="shared" si="2"/>
        <v>1886971.3599999999</v>
      </c>
      <c r="BI3" s="386">
        <f t="shared" si="2"/>
        <v>1679976.09</v>
      </c>
      <c r="BJ3" s="386">
        <f t="shared" si="2"/>
        <v>2111707.8200000003</v>
      </c>
      <c r="BK3" s="386">
        <f t="shared" si="2"/>
        <v>2195116.7</v>
      </c>
      <c r="BL3" s="386">
        <f t="shared" si="2"/>
        <v>900283.68</v>
      </c>
      <c r="BM3" s="386">
        <f t="shared" si="2"/>
        <v>5478396.32</v>
      </c>
      <c r="BN3" s="386">
        <f t="shared" si="2"/>
        <v>5712325.15</v>
      </c>
      <c r="BO3" s="386">
        <f t="shared" si="2"/>
        <v>4628410.66</v>
      </c>
      <c r="BP3" s="386">
        <f t="shared" si="2"/>
        <v>16583494.68</v>
      </c>
      <c r="BQ3" s="386">
        <f t="shared" si="2"/>
        <v>18296381.07</v>
      </c>
      <c r="BR3" s="449">
        <f t="shared" si="2"/>
        <v>15083434.45</v>
      </c>
      <c r="BS3" s="386">
        <f t="shared" si="2"/>
        <v>0</v>
      </c>
      <c r="BT3" s="386">
        <f t="shared" si="2"/>
        <v>0</v>
      </c>
      <c r="BU3" s="386">
        <f t="shared" si="2"/>
        <v>0</v>
      </c>
      <c r="BV3" s="386">
        <f t="shared" si="2"/>
        <v>0</v>
      </c>
      <c r="BW3" s="386">
        <f t="shared" si="2"/>
        <v>0</v>
      </c>
      <c r="BX3" s="386">
        <f t="shared" si="2"/>
        <v>0</v>
      </c>
      <c r="BY3" s="386">
        <f t="shared" si="2"/>
        <v>0</v>
      </c>
      <c r="BZ3" s="386">
        <f t="shared" si="2"/>
        <v>0</v>
      </c>
      <c r="CA3" s="386">
        <f t="shared" si="2"/>
        <v>0</v>
      </c>
      <c r="CB3" s="386">
        <f t="shared" si="2"/>
        <v>0</v>
      </c>
      <c r="CC3" s="386">
        <f aca="true" t="shared" si="3" ref="CC3:CY3">CC5+CC12</f>
        <v>0</v>
      </c>
      <c r="CD3" s="386">
        <f t="shared" si="3"/>
        <v>0</v>
      </c>
      <c r="CE3" s="386">
        <f t="shared" si="3"/>
        <v>0</v>
      </c>
      <c r="CF3" s="386">
        <f t="shared" si="3"/>
        <v>0</v>
      </c>
      <c r="CG3" s="386">
        <f t="shared" si="3"/>
        <v>0</v>
      </c>
      <c r="CH3" s="386">
        <f t="shared" si="3"/>
        <v>0</v>
      </c>
      <c r="CI3" s="386">
        <f t="shared" si="3"/>
        <v>0</v>
      </c>
      <c r="CJ3" s="386">
        <f t="shared" si="3"/>
        <v>0</v>
      </c>
      <c r="CK3" s="386">
        <f t="shared" si="3"/>
        <v>0</v>
      </c>
      <c r="CL3" s="386">
        <f t="shared" si="3"/>
        <v>0</v>
      </c>
      <c r="CM3" s="386">
        <f t="shared" si="3"/>
        <v>0</v>
      </c>
      <c r="CN3" s="386">
        <f t="shared" si="3"/>
        <v>0</v>
      </c>
      <c r="CO3" s="386">
        <f t="shared" si="3"/>
        <v>0</v>
      </c>
      <c r="CP3" s="386">
        <f t="shared" si="3"/>
        <v>0</v>
      </c>
      <c r="CQ3" s="386">
        <f t="shared" si="3"/>
        <v>96000</v>
      </c>
      <c r="CR3" s="386">
        <f t="shared" si="3"/>
        <v>50000</v>
      </c>
      <c r="CS3" s="386">
        <f t="shared" si="3"/>
        <v>50000</v>
      </c>
      <c r="CT3" s="386">
        <f t="shared" si="3"/>
        <v>196000</v>
      </c>
      <c r="CU3" s="386">
        <f t="shared" si="3"/>
        <v>50000</v>
      </c>
      <c r="CV3" s="386">
        <f t="shared" si="3"/>
        <v>0</v>
      </c>
      <c r="CW3" s="386">
        <f t="shared" si="3"/>
        <v>900000</v>
      </c>
      <c r="CX3" s="449">
        <f t="shared" si="3"/>
        <v>2275803.4099999974</v>
      </c>
      <c r="CY3" s="334">
        <f t="shared" si="3"/>
        <v>0</v>
      </c>
      <c r="CZ3" s="85"/>
      <c r="DA3" s="85"/>
      <c r="DB3" s="277"/>
      <c r="DD3" s="113"/>
    </row>
    <row r="4" spans="2:103" ht="14.25" customHeight="1" hidden="1" thickBot="1">
      <c r="B4" s="473" t="s">
        <v>121</v>
      </c>
      <c r="C4" s="115">
        <f>C7+C13</f>
        <v>3359132.34</v>
      </c>
      <c r="D4" s="115"/>
      <c r="E4" s="333">
        <v>11370767.59</v>
      </c>
      <c r="F4" s="333">
        <v>11757293.66</v>
      </c>
      <c r="G4" s="333">
        <v>11660889.772</v>
      </c>
      <c r="H4" s="333">
        <v>11757294</v>
      </c>
      <c r="I4" s="215">
        <v>0</v>
      </c>
      <c r="J4" s="437">
        <f>J7+J13</f>
        <v>800000</v>
      </c>
      <c r="K4" s="437">
        <f>K7+K13</f>
        <v>800000</v>
      </c>
      <c r="L4" s="437">
        <f>L7+L13</f>
        <v>1100000</v>
      </c>
      <c r="M4" s="437">
        <f>M7+M13</f>
        <v>2245950</v>
      </c>
      <c r="O4" s="315" t="s">
        <v>116</v>
      </c>
      <c r="P4" s="336"/>
      <c r="Q4" s="361">
        <f aca="true" t="shared" si="4" ref="Q4:AV4">Q7+Q13</f>
        <v>1586210</v>
      </c>
      <c r="R4" s="361">
        <f t="shared" si="4"/>
        <v>5000000</v>
      </c>
      <c r="S4" s="361">
        <f t="shared" si="4"/>
        <v>13884259.05</v>
      </c>
      <c r="T4" s="387">
        <f t="shared" si="4"/>
        <v>935901</v>
      </c>
      <c r="U4" s="387">
        <f t="shared" si="4"/>
        <v>502881.19</v>
      </c>
      <c r="V4" s="387">
        <f t="shared" si="4"/>
        <v>2279029.75</v>
      </c>
      <c r="W4" s="387">
        <f t="shared" si="4"/>
        <v>1013917.01</v>
      </c>
      <c r="X4" s="387">
        <f t="shared" si="4"/>
        <v>855168.9099999999</v>
      </c>
      <c r="Y4" s="387">
        <f t="shared" si="4"/>
        <v>251239.77</v>
      </c>
      <c r="Z4" s="387">
        <f t="shared" si="4"/>
        <v>1106743.5499999998</v>
      </c>
      <c r="AA4" s="387">
        <f t="shared" si="4"/>
        <v>797071.5700000001</v>
      </c>
      <c r="AB4" s="387">
        <f t="shared" si="4"/>
        <v>1068686.57</v>
      </c>
      <c r="AC4" s="387">
        <f t="shared" si="4"/>
        <v>3056561.56</v>
      </c>
      <c r="AD4" s="387">
        <f t="shared" si="4"/>
        <v>2155121.67</v>
      </c>
      <c r="AE4" s="387">
        <f t="shared" si="4"/>
        <v>3598956.09</v>
      </c>
      <c r="AF4" s="387">
        <f t="shared" si="4"/>
        <v>840703.49</v>
      </c>
      <c r="AG4" s="387">
        <f t="shared" si="4"/>
        <v>1054681</v>
      </c>
      <c r="AH4" s="387">
        <f t="shared" si="4"/>
        <v>635835.7</v>
      </c>
      <c r="AI4" s="387">
        <f t="shared" si="4"/>
        <v>981578.98</v>
      </c>
      <c r="AJ4" s="387">
        <f t="shared" si="4"/>
        <v>1609222.4900000002</v>
      </c>
      <c r="AK4" s="387">
        <f t="shared" si="4"/>
        <v>855168.9099999999</v>
      </c>
      <c r="AL4" s="387">
        <f t="shared" si="4"/>
        <v>1275357.65</v>
      </c>
      <c r="AM4" s="387">
        <f t="shared" si="4"/>
        <v>1557910.1600000001</v>
      </c>
      <c r="AN4" s="387">
        <f t="shared" si="4"/>
        <v>549006.98</v>
      </c>
      <c r="AO4" s="387">
        <f t="shared" si="4"/>
        <v>3097640.12</v>
      </c>
      <c r="AP4" s="387">
        <f t="shared" si="4"/>
        <v>4221813.65</v>
      </c>
      <c r="AQ4" s="521">
        <f t="shared" si="4"/>
        <v>2040011.59</v>
      </c>
      <c r="AR4" s="387">
        <f t="shared" si="4"/>
        <v>954276.96</v>
      </c>
      <c r="AS4" s="387">
        <f t="shared" si="4"/>
        <v>1334540.12</v>
      </c>
      <c r="AT4" s="387">
        <f t="shared" si="4"/>
        <v>1302745.59</v>
      </c>
      <c r="AU4" s="387">
        <f t="shared" si="4"/>
        <v>1156192.42</v>
      </c>
      <c r="AV4" s="387">
        <f t="shared" si="4"/>
        <v>912784.8999999999</v>
      </c>
      <c r="AW4" s="450">
        <f aca="true" t="shared" si="5" ref="AW4:CB4">AW7+AW13</f>
        <v>1418304.83</v>
      </c>
      <c r="AX4" s="450">
        <f t="shared" si="5"/>
        <v>1391167.76</v>
      </c>
      <c r="AY4" s="450">
        <f t="shared" si="5"/>
        <v>1261710.9</v>
      </c>
      <c r="AZ4" s="529">
        <f t="shared" si="5"/>
        <v>940826.16</v>
      </c>
      <c r="BA4" s="387">
        <f t="shared" si="5"/>
        <v>3501637.14</v>
      </c>
      <c r="BB4" s="387">
        <f t="shared" si="5"/>
        <v>3509035.92</v>
      </c>
      <c r="BC4" s="387">
        <f t="shared" si="5"/>
        <v>3661876.58</v>
      </c>
      <c r="BD4" s="387">
        <f t="shared" si="5"/>
        <v>906504.74</v>
      </c>
      <c r="BE4" s="387">
        <f t="shared" si="5"/>
        <v>1129572.32</v>
      </c>
      <c r="BF4" s="387">
        <f t="shared" si="5"/>
        <v>2175225.79</v>
      </c>
      <c r="BG4" s="387">
        <f t="shared" si="5"/>
        <v>999248.06</v>
      </c>
      <c r="BH4" s="387">
        <f t="shared" si="5"/>
        <v>715989.95</v>
      </c>
      <c r="BI4" s="387">
        <f t="shared" si="5"/>
        <v>896069.8200000001</v>
      </c>
      <c r="BJ4" s="387">
        <f t="shared" si="5"/>
        <v>1045649.3400000001</v>
      </c>
      <c r="BK4" s="387">
        <f t="shared" si="5"/>
        <v>2152725.54</v>
      </c>
      <c r="BL4" s="387">
        <f t="shared" si="5"/>
        <v>977974.61</v>
      </c>
      <c r="BM4" s="387">
        <f t="shared" si="5"/>
        <v>2951402.1399999997</v>
      </c>
      <c r="BN4" s="387">
        <f t="shared" si="5"/>
        <v>3998287.81</v>
      </c>
      <c r="BO4" s="387">
        <f t="shared" si="5"/>
        <v>4049270.2199999997</v>
      </c>
      <c r="BP4" s="387">
        <f t="shared" si="5"/>
        <v>12607240.96</v>
      </c>
      <c r="BQ4" s="387">
        <f t="shared" si="5"/>
        <v>13884259.05</v>
      </c>
      <c r="BR4" s="450">
        <f t="shared" si="5"/>
        <v>13350114.48</v>
      </c>
      <c r="BS4" s="387">
        <f t="shared" si="5"/>
        <v>0</v>
      </c>
      <c r="BT4" s="387">
        <f t="shared" si="5"/>
        <v>0</v>
      </c>
      <c r="BU4" s="387">
        <f t="shared" si="5"/>
        <v>0</v>
      </c>
      <c r="BV4" s="387">
        <f t="shared" si="5"/>
        <v>0</v>
      </c>
      <c r="BW4" s="387">
        <f t="shared" si="5"/>
        <v>0</v>
      </c>
      <c r="BX4" s="387">
        <f t="shared" si="5"/>
        <v>0</v>
      </c>
      <c r="BY4" s="387">
        <f t="shared" si="5"/>
        <v>0</v>
      </c>
      <c r="BZ4" s="387">
        <f t="shared" si="5"/>
        <v>0</v>
      </c>
      <c r="CA4" s="387">
        <f t="shared" si="5"/>
        <v>0</v>
      </c>
      <c r="CB4" s="387">
        <f t="shared" si="5"/>
        <v>0</v>
      </c>
      <c r="CC4" s="387">
        <f aca="true" t="shared" si="6" ref="CC4:CX4">CC7+CC13</f>
        <v>0</v>
      </c>
      <c r="CD4" s="387">
        <f t="shared" si="6"/>
        <v>0</v>
      </c>
      <c r="CE4" s="387">
        <f t="shared" si="6"/>
        <v>0</v>
      </c>
      <c r="CF4" s="387">
        <f t="shared" si="6"/>
        <v>0</v>
      </c>
      <c r="CG4" s="387">
        <f t="shared" si="6"/>
        <v>0</v>
      </c>
      <c r="CH4" s="387">
        <f t="shared" si="6"/>
        <v>0</v>
      </c>
      <c r="CI4" s="387">
        <f t="shared" si="6"/>
        <v>0</v>
      </c>
      <c r="CJ4" s="387">
        <f t="shared" si="6"/>
        <v>0</v>
      </c>
      <c r="CK4" s="387">
        <f t="shared" si="6"/>
        <v>0</v>
      </c>
      <c r="CL4" s="387">
        <f t="shared" si="6"/>
        <v>0</v>
      </c>
      <c r="CM4" s="387">
        <f t="shared" si="6"/>
        <v>0</v>
      </c>
      <c r="CN4" s="387">
        <f t="shared" si="6"/>
        <v>0</v>
      </c>
      <c r="CO4" s="387">
        <f t="shared" si="6"/>
        <v>0</v>
      </c>
      <c r="CP4" s="387">
        <f t="shared" si="6"/>
        <v>0</v>
      </c>
      <c r="CQ4" s="387">
        <f t="shared" si="6"/>
        <v>1059000</v>
      </c>
      <c r="CR4" s="387">
        <f t="shared" si="6"/>
        <v>1084000</v>
      </c>
      <c r="CS4" s="387">
        <f t="shared" si="6"/>
        <v>1034000</v>
      </c>
      <c r="CT4" s="387">
        <f t="shared" si="6"/>
        <v>3177000</v>
      </c>
      <c r="CU4" s="387">
        <f t="shared" si="6"/>
        <v>2926000</v>
      </c>
      <c r="CV4" s="387">
        <f t="shared" si="6"/>
        <v>1376000</v>
      </c>
      <c r="CW4" s="387">
        <f t="shared" si="6"/>
        <v>4093680</v>
      </c>
      <c r="CX4" s="450">
        <f t="shared" si="6"/>
        <v>4464963.69</v>
      </c>
      <c r="CY4" s="215"/>
    </row>
    <row r="5" spans="1:109" s="232" customFormat="1" ht="24.75" customHeight="1" thickBot="1">
      <c r="A5" s="695" t="s">
        <v>72</v>
      </c>
      <c r="B5" s="696"/>
      <c r="C5" s="365">
        <v>149084.15</v>
      </c>
      <c r="D5" s="190"/>
      <c r="E5" s="237">
        <v>1837454.42</v>
      </c>
      <c r="F5" s="237">
        <v>1853297.75</v>
      </c>
      <c r="G5" s="331">
        <v>788441.97</v>
      </c>
      <c r="H5" s="231">
        <v>1853298</v>
      </c>
      <c r="I5" s="216"/>
      <c r="J5" s="318">
        <v>493000</v>
      </c>
      <c r="K5" s="318">
        <v>493000</v>
      </c>
      <c r="L5" s="415">
        <v>493000</v>
      </c>
      <c r="M5" s="318">
        <v>1400000</v>
      </c>
      <c r="N5" s="279">
        <v>204161.60222222222</v>
      </c>
      <c r="O5" s="308">
        <v>-0.25</v>
      </c>
      <c r="P5" s="337"/>
      <c r="Q5" s="498">
        <v>800000</v>
      </c>
      <c r="R5" s="498">
        <f>1336490+1600000+476810</f>
        <v>3413300</v>
      </c>
      <c r="S5" s="350">
        <f>J5+K5+L5+M5+Q5+R5+2550930-11106.9</f>
        <v>9632123.1</v>
      </c>
      <c r="T5" s="346">
        <v>422723.45</v>
      </c>
      <c r="U5" s="191">
        <v>491551.34</v>
      </c>
      <c r="V5" s="191">
        <v>572215.1</v>
      </c>
      <c r="W5" s="226">
        <v>457813.24</v>
      </c>
      <c r="X5" s="226">
        <v>489218.7</v>
      </c>
      <c r="Y5" s="226">
        <v>227095.89</v>
      </c>
      <c r="Z5" s="226">
        <v>547572.18</v>
      </c>
      <c r="AA5" s="226">
        <v>664153.62</v>
      </c>
      <c r="AB5" s="227">
        <v>272385.64</v>
      </c>
      <c r="AC5" s="228">
        <f>T5+W5+Z5</f>
        <v>1428108.87</v>
      </c>
      <c r="AD5" s="229">
        <f>U5+X5+AA5</f>
        <v>1644923.6600000001</v>
      </c>
      <c r="AE5" s="233">
        <f>V5+Y5+AB5</f>
        <v>1071696.63</v>
      </c>
      <c r="AF5" s="237">
        <v>530198.17</v>
      </c>
      <c r="AG5" s="237">
        <v>1170541.17</v>
      </c>
      <c r="AH5" s="237">
        <f>491546.96+4.38</f>
        <v>491551.34</v>
      </c>
      <c r="AI5" s="237">
        <v>567969.58</v>
      </c>
      <c r="AJ5" s="237">
        <v>862635.67</v>
      </c>
      <c r="AK5" s="237">
        <v>489218.7</v>
      </c>
      <c r="AL5" s="237">
        <v>822370.8</v>
      </c>
      <c r="AM5" s="237">
        <v>731172.92</v>
      </c>
      <c r="AN5" s="239">
        <v>383503.67</v>
      </c>
      <c r="AO5" s="242">
        <f>AF5+AI5+AL5</f>
        <v>1920538.55</v>
      </c>
      <c r="AP5" s="237">
        <f>AG5+AJ5+AM5</f>
        <v>2764349.76</v>
      </c>
      <c r="AQ5" s="239">
        <f>AH5+AK5+AN5</f>
        <v>1364273.71</v>
      </c>
      <c r="AR5" s="242">
        <v>775477.8</v>
      </c>
      <c r="AS5" s="237">
        <v>679068.85</v>
      </c>
      <c r="AT5" s="243">
        <v>1451191.12</v>
      </c>
      <c r="AU5" s="242">
        <v>1008998.53</v>
      </c>
      <c r="AV5" s="237">
        <v>679368.16</v>
      </c>
      <c r="AW5" s="243">
        <v>672635.67</v>
      </c>
      <c r="AX5" s="242">
        <v>885319.73</v>
      </c>
      <c r="AY5" s="243">
        <v>900283.68</v>
      </c>
      <c r="AZ5" s="641"/>
      <c r="BA5" s="242">
        <f>AR5+AU5+AX5</f>
        <v>2669796.06</v>
      </c>
      <c r="BB5" s="237">
        <f>AS5+AV5+AY5</f>
        <v>2258720.69</v>
      </c>
      <c r="BC5" s="239">
        <f>AT5+AW5+AZ5</f>
        <v>2123826.79</v>
      </c>
      <c r="BD5" s="237">
        <v>747352.26</v>
      </c>
      <c r="BE5" s="237">
        <v>432546.23</v>
      </c>
      <c r="BF5" s="239">
        <v>1600241.77</v>
      </c>
      <c r="BG5" s="242">
        <v>907760.07</v>
      </c>
      <c r="BH5" s="237">
        <v>1176943.48</v>
      </c>
      <c r="BI5" s="243">
        <v>679368.16</v>
      </c>
      <c r="BJ5" s="241">
        <v>1281425.83</v>
      </c>
      <c r="BK5" s="237">
        <v>1354639.28</v>
      </c>
      <c r="BL5" s="239">
        <v>900283.68</v>
      </c>
      <c r="BM5" s="237">
        <f>BD5+BG5+BJ5</f>
        <v>2936538.16</v>
      </c>
      <c r="BN5" s="237">
        <f>BE5+BH5+BK5</f>
        <v>2964128.99</v>
      </c>
      <c r="BO5" s="239">
        <f>BF5+BI5+BL5</f>
        <v>3179893.6100000003</v>
      </c>
      <c r="BP5" s="237">
        <f>AC5+AO5+BA5+BM5</f>
        <v>8954981.64</v>
      </c>
      <c r="BQ5" s="237">
        <f>AD5+AP5+BB5+BN5</f>
        <v>9632123.1</v>
      </c>
      <c r="BR5" s="697">
        <f>AE5+AQ5+BC5+BO5</f>
        <v>7739690.74</v>
      </c>
      <c r="BS5" s="697"/>
      <c r="BT5" s="697"/>
      <c r="BU5" s="697"/>
      <c r="BV5" s="184"/>
      <c r="BW5" s="182"/>
      <c r="BX5" s="183"/>
      <c r="BY5" s="184"/>
      <c r="BZ5" s="182"/>
      <c r="CA5" s="185"/>
      <c r="CB5" s="181">
        <f>BV5+BY5</f>
        <v>0</v>
      </c>
      <c r="CC5" s="182">
        <f>BW5+BZ5</f>
        <v>0</v>
      </c>
      <c r="CD5" s="185">
        <f>CA5</f>
        <v>0</v>
      </c>
      <c r="CE5" s="181"/>
      <c r="CF5" s="182"/>
      <c r="CG5" s="183"/>
      <c r="CH5" s="186"/>
      <c r="CI5" s="186"/>
      <c r="CJ5" s="187"/>
      <c r="CK5" s="188"/>
      <c r="CL5" s="186"/>
      <c r="CM5" s="187"/>
      <c r="CN5" s="188">
        <f>CE5+CH5+CK5</f>
        <v>0</v>
      </c>
      <c r="CO5" s="186">
        <f>CF5+CI5+CL5</f>
        <v>0</v>
      </c>
      <c r="CP5" s="187">
        <f>CG5+CJ5+CM5</f>
        <v>0</v>
      </c>
      <c r="CQ5" s="230">
        <v>96000</v>
      </c>
      <c r="CR5" s="230">
        <v>50000</v>
      </c>
      <c r="CS5" s="230">
        <v>50000</v>
      </c>
      <c r="CT5" s="230">
        <f>CQ5+CR5+CS5</f>
        <v>196000</v>
      </c>
      <c r="CU5" s="230">
        <v>50000</v>
      </c>
      <c r="CV5" s="230">
        <v>0</v>
      </c>
      <c r="CW5" s="230">
        <v>200000</v>
      </c>
      <c r="CX5" s="189">
        <f>C5+BQ5-BP5+16155.28-4156.48+63817.33</f>
        <v>902041.7399999994</v>
      </c>
      <c r="CY5" s="216"/>
      <c r="CZ5" s="286">
        <f>S5-BQ5</f>
        <v>0</v>
      </c>
      <c r="DA5" s="287"/>
      <c r="DB5" s="279">
        <f>BP5/12</f>
        <v>746248.4700000001</v>
      </c>
      <c r="DD5" s="481">
        <f>J5+K5+L5+M5+Q5+R5</f>
        <v>7092300</v>
      </c>
      <c r="DE5" s="485"/>
    </row>
    <row r="6" spans="1:109" s="11" customFormat="1" ht="45.75" customHeight="1" thickBot="1">
      <c r="A6" s="116" t="s">
        <v>2</v>
      </c>
      <c r="B6" s="117" t="s">
        <v>3</v>
      </c>
      <c r="C6" s="118" t="s">
        <v>122</v>
      </c>
      <c r="D6" s="192" t="s">
        <v>88</v>
      </c>
      <c r="E6" s="127" t="s">
        <v>112</v>
      </c>
      <c r="F6" s="128" t="s">
        <v>113</v>
      </c>
      <c r="G6" s="129" t="s">
        <v>114</v>
      </c>
      <c r="H6" s="219" t="s">
        <v>87</v>
      </c>
      <c r="I6" s="225" t="s">
        <v>92</v>
      </c>
      <c r="J6" s="404" t="s">
        <v>118</v>
      </c>
      <c r="K6" s="404" t="s">
        <v>119</v>
      </c>
      <c r="L6" s="416" t="s">
        <v>131</v>
      </c>
      <c r="M6" s="507" t="s">
        <v>132</v>
      </c>
      <c r="N6" s="256" t="s">
        <v>123</v>
      </c>
      <c r="O6" s="309" t="s">
        <v>111</v>
      </c>
      <c r="P6" s="338"/>
      <c r="Q6" s="499" t="s">
        <v>133</v>
      </c>
      <c r="R6" s="509" t="s">
        <v>135</v>
      </c>
      <c r="S6" s="351" t="s">
        <v>128</v>
      </c>
      <c r="T6" s="258" t="s">
        <v>40</v>
      </c>
      <c r="U6" s="120" t="s">
        <v>41</v>
      </c>
      <c r="V6" s="121" t="s">
        <v>124</v>
      </c>
      <c r="W6" s="119" t="s">
        <v>42</v>
      </c>
      <c r="X6" s="120" t="s">
        <v>43</v>
      </c>
      <c r="Y6" s="121" t="s">
        <v>125</v>
      </c>
      <c r="Z6" s="119" t="s">
        <v>44</v>
      </c>
      <c r="AA6" s="120" t="s">
        <v>45</v>
      </c>
      <c r="AB6" s="121" t="s">
        <v>126</v>
      </c>
      <c r="AC6" s="122" t="s">
        <v>46</v>
      </c>
      <c r="AD6" s="123" t="s">
        <v>70</v>
      </c>
      <c r="AE6" s="124" t="s">
        <v>127</v>
      </c>
      <c r="AF6" s="119" t="s">
        <v>49</v>
      </c>
      <c r="AG6" s="125" t="s">
        <v>50</v>
      </c>
      <c r="AH6" s="126" t="s">
        <v>95</v>
      </c>
      <c r="AI6" s="119" t="s">
        <v>51</v>
      </c>
      <c r="AJ6" s="125" t="s">
        <v>52</v>
      </c>
      <c r="AK6" s="285" t="s">
        <v>96</v>
      </c>
      <c r="AL6" s="119" t="s">
        <v>53</v>
      </c>
      <c r="AM6" s="125" t="s">
        <v>54</v>
      </c>
      <c r="AN6" s="240" t="s">
        <v>97</v>
      </c>
      <c r="AO6" s="122" t="s">
        <v>55</v>
      </c>
      <c r="AP6" s="123" t="s">
        <v>71</v>
      </c>
      <c r="AQ6" s="306" t="s">
        <v>98</v>
      </c>
      <c r="AR6" s="171" t="s">
        <v>56</v>
      </c>
      <c r="AS6" s="173" t="s">
        <v>57</v>
      </c>
      <c r="AT6" s="259" t="s">
        <v>100</v>
      </c>
      <c r="AU6" s="171" t="s">
        <v>58</v>
      </c>
      <c r="AV6" s="173" t="s">
        <v>59</v>
      </c>
      <c r="AW6" s="259" t="s">
        <v>101</v>
      </c>
      <c r="AX6" s="171" t="s">
        <v>60</v>
      </c>
      <c r="AY6" s="646" t="s">
        <v>61</v>
      </c>
      <c r="AZ6" s="642" t="s">
        <v>102</v>
      </c>
      <c r="BA6" s="122" t="s">
        <v>62</v>
      </c>
      <c r="BB6" s="123" t="s">
        <v>77</v>
      </c>
      <c r="BC6" s="306" t="s">
        <v>99</v>
      </c>
      <c r="BD6" s="120" t="s">
        <v>63</v>
      </c>
      <c r="BE6" s="125" t="s">
        <v>64</v>
      </c>
      <c r="BF6" s="240" t="s">
        <v>103</v>
      </c>
      <c r="BG6" s="119" t="s">
        <v>65</v>
      </c>
      <c r="BH6" s="125" t="s">
        <v>66</v>
      </c>
      <c r="BI6" s="126" t="s">
        <v>104</v>
      </c>
      <c r="BJ6" s="258" t="s">
        <v>67</v>
      </c>
      <c r="BK6" s="125" t="s">
        <v>68</v>
      </c>
      <c r="BL6" s="240" t="s">
        <v>105</v>
      </c>
      <c r="BM6" s="122" t="s">
        <v>69</v>
      </c>
      <c r="BN6" s="123" t="s">
        <v>80</v>
      </c>
      <c r="BO6" s="124" t="s">
        <v>106</v>
      </c>
      <c r="BP6" s="127" t="s">
        <v>144</v>
      </c>
      <c r="BQ6" s="128" t="s">
        <v>145</v>
      </c>
      <c r="BR6" s="451" t="s">
        <v>146</v>
      </c>
      <c r="BS6" s="234" t="s">
        <v>56</v>
      </c>
      <c r="BT6" s="235" t="s">
        <v>57</v>
      </c>
      <c r="BU6" s="236" t="s">
        <v>74</v>
      </c>
      <c r="BV6" s="146" t="s">
        <v>58</v>
      </c>
      <c r="BW6" s="147" t="s">
        <v>59</v>
      </c>
      <c r="BX6" s="148" t="s">
        <v>76</v>
      </c>
      <c r="BY6" s="59" t="s">
        <v>60</v>
      </c>
      <c r="BZ6" s="60" t="s">
        <v>61</v>
      </c>
      <c r="CA6" s="61" t="s">
        <v>75</v>
      </c>
      <c r="CB6" s="132" t="s">
        <v>62</v>
      </c>
      <c r="CC6" s="133" t="s">
        <v>77</v>
      </c>
      <c r="CD6" s="134" t="s">
        <v>78</v>
      </c>
      <c r="CE6" s="171" t="s">
        <v>63</v>
      </c>
      <c r="CF6" s="172" t="s">
        <v>64</v>
      </c>
      <c r="CG6" s="173" t="s">
        <v>82</v>
      </c>
      <c r="CH6" s="59" t="s">
        <v>65</v>
      </c>
      <c r="CI6" s="60" t="s">
        <v>66</v>
      </c>
      <c r="CJ6" s="61" t="s">
        <v>83</v>
      </c>
      <c r="CK6" s="59" t="s">
        <v>67</v>
      </c>
      <c r="CL6" s="60" t="s">
        <v>68</v>
      </c>
      <c r="CM6" s="61" t="s">
        <v>84</v>
      </c>
      <c r="CN6" s="167" t="s">
        <v>69</v>
      </c>
      <c r="CO6" s="168" t="s">
        <v>80</v>
      </c>
      <c r="CP6" s="169" t="s">
        <v>81</v>
      </c>
      <c r="CQ6" s="388" t="s">
        <v>85</v>
      </c>
      <c r="CR6" s="388" t="s">
        <v>86</v>
      </c>
      <c r="CS6" s="388" t="s">
        <v>89</v>
      </c>
      <c r="CT6" s="389" t="s">
        <v>90</v>
      </c>
      <c r="CU6" s="388" t="s">
        <v>91</v>
      </c>
      <c r="CV6" s="388" t="s">
        <v>93</v>
      </c>
      <c r="CW6" s="388" t="s">
        <v>94</v>
      </c>
      <c r="CX6" s="665" t="s">
        <v>147</v>
      </c>
      <c r="CY6" s="225" t="s">
        <v>92</v>
      </c>
      <c r="CZ6" s="247" t="s">
        <v>129</v>
      </c>
      <c r="DA6" s="257" t="s">
        <v>130</v>
      </c>
      <c r="DB6" s="256" t="s">
        <v>148</v>
      </c>
      <c r="DD6" s="483" t="s">
        <v>138</v>
      </c>
      <c r="DE6" s="486" t="s">
        <v>142</v>
      </c>
    </row>
    <row r="7" spans="1:109" s="1" customFormat="1" ht="18.75" customHeight="1">
      <c r="A7" s="688" t="s">
        <v>7</v>
      </c>
      <c r="B7" s="5" t="s">
        <v>134</v>
      </c>
      <c r="C7" s="366">
        <v>2345817.83</v>
      </c>
      <c r="D7" s="193"/>
      <c r="E7" s="87">
        <v>7222930.710000001</v>
      </c>
      <c r="F7" s="88">
        <v>7044688.92</v>
      </c>
      <c r="G7" s="89">
        <v>7151046.84</v>
      </c>
      <c r="H7" s="220">
        <v>7044689</v>
      </c>
      <c r="I7" s="248"/>
      <c r="J7" s="319">
        <v>500000</v>
      </c>
      <c r="K7" s="319">
        <v>500000</v>
      </c>
      <c r="L7" s="319">
        <v>700000</v>
      </c>
      <c r="M7" s="319">
        <v>1422000</v>
      </c>
      <c r="N7" s="282">
        <v>601910.8925000001</v>
      </c>
      <c r="O7" s="58">
        <v>-0.0800000000745058</v>
      </c>
      <c r="P7" s="339"/>
      <c r="Q7" s="500">
        <v>611000</v>
      </c>
      <c r="R7" s="511">
        <f>1200000+800000</f>
        <v>2000000</v>
      </c>
      <c r="S7" s="632">
        <f>J7+K7+L7+M7+Q7+R7+1200000-26425.53</f>
        <v>6906574.47</v>
      </c>
      <c r="T7" s="260">
        <v>598578.99</v>
      </c>
      <c r="U7" s="41">
        <v>332378.26</v>
      </c>
      <c r="V7" s="43">
        <v>1651831.04</v>
      </c>
      <c r="W7" s="40">
        <v>582408.28</v>
      </c>
      <c r="X7" s="41">
        <v>572001.37</v>
      </c>
      <c r="Y7" s="43">
        <v>47716.41</v>
      </c>
      <c r="Z7" s="40">
        <v>566165.83</v>
      </c>
      <c r="AA7" s="41">
        <v>368487.27</v>
      </c>
      <c r="AB7" s="43">
        <v>517678.05</v>
      </c>
      <c r="AC7" s="87">
        <f aca="true" t="shared" si="7" ref="AC7:AE8">T7+W7+Z7</f>
        <v>1747153.1</v>
      </c>
      <c r="AD7" s="88">
        <f t="shared" si="7"/>
        <v>1272866.9</v>
      </c>
      <c r="AE7" s="89">
        <f t="shared" si="7"/>
        <v>2217225.5</v>
      </c>
      <c r="AF7" s="40">
        <f>441111.14+454.79</f>
        <v>441565.93</v>
      </c>
      <c r="AG7" s="42">
        <v>831854.8</v>
      </c>
      <c r="AH7" s="20">
        <f>332378.26+132971.26</f>
        <v>465349.52</v>
      </c>
      <c r="AI7" s="40">
        <v>404821.2</v>
      </c>
      <c r="AJ7" s="42">
        <v>890595.93</v>
      </c>
      <c r="AK7" s="43">
        <v>572001.37</v>
      </c>
      <c r="AL7" s="40">
        <v>713318.64</v>
      </c>
      <c r="AM7" s="42">
        <v>617084</v>
      </c>
      <c r="AN7" s="108">
        <v>368487.27</v>
      </c>
      <c r="AO7" s="87">
        <f aca="true" t="shared" si="8" ref="AO7:AQ8">AF7+AI7+AL7</f>
        <v>1559705.77</v>
      </c>
      <c r="AP7" s="88">
        <f t="shared" si="8"/>
        <v>2339534.73</v>
      </c>
      <c r="AQ7" s="522">
        <f t="shared" si="8"/>
        <v>1405838.1600000001</v>
      </c>
      <c r="AR7" s="40">
        <v>589897.82</v>
      </c>
      <c r="AS7" s="42">
        <v>618135.15</v>
      </c>
      <c r="AT7" s="20">
        <v>831854.8</v>
      </c>
      <c r="AU7" s="40">
        <v>579043.8</v>
      </c>
      <c r="AV7" s="42">
        <v>317753.67</v>
      </c>
      <c r="AW7" s="20">
        <f>3000+696678.27</f>
        <v>699678.27</v>
      </c>
      <c r="AX7" s="40">
        <v>730847.31</v>
      </c>
      <c r="AY7" s="43">
        <v>977974.61</v>
      </c>
      <c r="AZ7" s="643"/>
      <c r="BA7" s="40">
        <f aca="true" t="shared" si="9" ref="BA7:BC8">AR7+AU7+AX7</f>
        <v>1899788.9300000002</v>
      </c>
      <c r="BB7" s="41">
        <f t="shared" si="9"/>
        <v>1913863.4300000002</v>
      </c>
      <c r="BC7" s="42">
        <f t="shared" si="9"/>
        <v>1531533.07</v>
      </c>
      <c r="BD7" s="41">
        <v>526769.35</v>
      </c>
      <c r="BE7" s="42">
        <v>122434.24</v>
      </c>
      <c r="BF7" s="108">
        <v>1426136.81</v>
      </c>
      <c r="BG7" s="40">
        <v>435485.3</v>
      </c>
      <c r="BH7" s="42">
        <v>321126.65</v>
      </c>
      <c r="BI7" s="20">
        <v>317753.67</v>
      </c>
      <c r="BJ7" s="260">
        <v>565051.78</v>
      </c>
      <c r="BK7" s="42">
        <v>936748.52</v>
      </c>
      <c r="BL7" s="108">
        <v>977974.61</v>
      </c>
      <c r="BM7" s="40">
        <f aca="true" t="shared" si="10" ref="BM7:BO8">BD7+BG7+BJ7</f>
        <v>1527306.43</v>
      </c>
      <c r="BN7" s="41">
        <f t="shared" si="10"/>
        <v>1380309.4100000001</v>
      </c>
      <c r="BO7" s="42">
        <f t="shared" si="10"/>
        <v>2721865.09</v>
      </c>
      <c r="BP7" s="87">
        <f>AC7+AO7+BA7+BM7</f>
        <v>6733954.23</v>
      </c>
      <c r="BQ7" s="88">
        <f>AD7+AP7+BB7+BN7</f>
        <v>6906574.470000001</v>
      </c>
      <c r="BR7" s="452">
        <f>AE7+AQ7+BC7+BO7</f>
        <v>7876461.82</v>
      </c>
      <c r="BS7" s="269"/>
      <c r="BT7" s="149"/>
      <c r="BU7" s="150"/>
      <c r="BV7" s="144"/>
      <c r="BW7" s="149"/>
      <c r="BX7" s="161"/>
      <c r="BY7" s="141"/>
      <c r="BZ7" s="100"/>
      <c r="CA7" s="136"/>
      <c r="CB7" s="90">
        <f aca="true" t="shared" si="11" ref="CB7:CD8">BS7+BV7+BY7</f>
        <v>0</v>
      </c>
      <c r="CC7" s="91">
        <f t="shared" si="11"/>
        <v>0</v>
      </c>
      <c r="CD7" s="36">
        <f t="shared" si="11"/>
        <v>0</v>
      </c>
      <c r="CE7" s="90"/>
      <c r="CF7" s="91"/>
      <c r="CG7" s="131"/>
      <c r="CH7" s="90"/>
      <c r="CI7" s="91"/>
      <c r="CJ7" s="36"/>
      <c r="CK7" s="90"/>
      <c r="CL7" s="91"/>
      <c r="CM7" s="36"/>
      <c r="CN7" s="99">
        <f aca="true" t="shared" si="12" ref="CN7:CP8">CE7+CH7+CK7</f>
        <v>0</v>
      </c>
      <c r="CO7" s="100">
        <f t="shared" si="12"/>
        <v>0</v>
      </c>
      <c r="CP7" s="101">
        <f t="shared" si="12"/>
        <v>0</v>
      </c>
      <c r="CQ7" s="390">
        <v>800000</v>
      </c>
      <c r="CR7" s="390">
        <v>800000</v>
      </c>
      <c r="CS7" s="390">
        <v>750000</v>
      </c>
      <c r="CT7" s="391">
        <f>CQ7+CR7+CS7</f>
        <v>2350000</v>
      </c>
      <c r="CU7" s="390">
        <v>750000</v>
      </c>
      <c r="CV7" s="390">
        <v>700000</v>
      </c>
      <c r="CW7" s="390">
        <v>2664260</v>
      </c>
      <c r="CX7" s="238">
        <f>C7+BQ7-BP7-1884.5+3333.44-154456.31+1666.72+281957.03-48489.74-1555.3-2023.15</f>
        <v>2596986.2600000002</v>
      </c>
      <c r="CY7" s="248"/>
      <c r="CZ7" s="288">
        <f>S7-BQ7</f>
        <v>0</v>
      </c>
      <c r="DA7" s="405"/>
      <c r="DB7" s="282">
        <f>BP7/12</f>
        <v>561162.8525</v>
      </c>
      <c r="DD7" s="482">
        <f>J7+K7+L7+M7+Q7+R7</f>
        <v>5733000</v>
      </c>
      <c r="DE7" s="487"/>
    </row>
    <row r="8" spans="1:109" s="1" customFormat="1" ht="18.75" customHeight="1" thickBot="1">
      <c r="A8" s="698"/>
      <c r="B8" s="13" t="s">
        <v>5</v>
      </c>
      <c r="C8" s="367"/>
      <c r="D8" s="194"/>
      <c r="E8" s="102">
        <v>11479312.35</v>
      </c>
      <c r="F8" s="103">
        <v>0</v>
      </c>
      <c r="G8" s="104">
        <v>0</v>
      </c>
      <c r="H8" s="418">
        <v>11415573</v>
      </c>
      <c r="I8" s="430"/>
      <c r="J8" s="417">
        <v>700000</v>
      </c>
      <c r="K8" s="417">
        <v>700000</v>
      </c>
      <c r="L8" s="417">
        <v>500000</v>
      </c>
      <c r="M8" s="417">
        <v>2000000</v>
      </c>
      <c r="N8" s="283">
        <v>956609.3624999999</v>
      </c>
      <c r="O8" s="267">
        <v>63739.34999999963</v>
      </c>
      <c r="P8" s="303"/>
      <c r="Q8" s="501">
        <v>1000000</v>
      </c>
      <c r="R8" s="512">
        <f>2600000+3000000</f>
        <v>5600000</v>
      </c>
      <c r="S8" s="632">
        <f>J8+K8+L8+M8+Q8+R8+2800000+37532.43</f>
        <v>13337532.43</v>
      </c>
      <c r="T8" s="261">
        <v>996064.78</v>
      </c>
      <c r="U8" s="45"/>
      <c r="V8" s="47"/>
      <c r="W8" s="44">
        <v>1062383.06</v>
      </c>
      <c r="X8" s="45"/>
      <c r="Y8" s="47"/>
      <c r="Z8" s="44">
        <v>1455180.29</v>
      </c>
      <c r="AA8" s="45"/>
      <c r="AB8" s="47"/>
      <c r="AC8" s="90">
        <f t="shared" si="7"/>
        <v>3513628.13</v>
      </c>
      <c r="AD8" s="91">
        <f t="shared" si="7"/>
        <v>0</v>
      </c>
      <c r="AE8" s="36">
        <f t="shared" si="7"/>
        <v>0</v>
      </c>
      <c r="AF8" s="44">
        <v>1292924.58</v>
      </c>
      <c r="AG8" s="46">
        <v>0</v>
      </c>
      <c r="AH8" s="21">
        <v>0</v>
      </c>
      <c r="AI8" s="44">
        <v>1333715.56</v>
      </c>
      <c r="AJ8" s="46"/>
      <c r="AK8" s="47"/>
      <c r="AL8" s="44">
        <v>1149296.78</v>
      </c>
      <c r="AM8" s="46"/>
      <c r="AN8" s="109"/>
      <c r="AO8" s="90">
        <f t="shared" si="8"/>
        <v>3775936.92</v>
      </c>
      <c r="AP8" s="91">
        <f t="shared" si="8"/>
        <v>0</v>
      </c>
      <c r="AQ8" s="131">
        <f t="shared" si="8"/>
        <v>0</v>
      </c>
      <c r="AR8" s="44">
        <v>1097399.73</v>
      </c>
      <c r="AS8" s="46"/>
      <c r="AT8" s="21"/>
      <c r="AU8" s="44">
        <v>1348234.32</v>
      </c>
      <c r="AV8" s="46"/>
      <c r="AW8" s="21"/>
      <c r="AX8" s="44">
        <v>1313614.33</v>
      </c>
      <c r="AY8" s="47"/>
      <c r="AZ8" s="272"/>
      <c r="BA8" s="44">
        <f t="shared" si="9"/>
        <v>3759248.38</v>
      </c>
      <c r="BB8" s="45">
        <f t="shared" si="9"/>
        <v>0</v>
      </c>
      <c r="BC8" s="46">
        <f t="shared" si="9"/>
        <v>0</v>
      </c>
      <c r="BD8" s="45">
        <v>1161625.83</v>
      </c>
      <c r="BE8" s="46"/>
      <c r="BF8" s="109"/>
      <c r="BG8" s="44">
        <v>1361058.59</v>
      </c>
      <c r="BH8" s="46"/>
      <c r="BI8" s="21"/>
      <c r="BJ8" s="261">
        <v>1360610.64</v>
      </c>
      <c r="BK8" s="46"/>
      <c r="BL8" s="109"/>
      <c r="BM8" s="44">
        <f t="shared" si="10"/>
        <v>3883295.0599999996</v>
      </c>
      <c r="BN8" s="45">
        <f t="shared" si="10"/>
        <v>0</v>
      </c>
      <c r="BO8" s="46">
        <f t="shared" si="10"/>
        <v>0</v>
      </c>
      <c r="BP8" s="90">
        <f>AC8+AO8+BA8+BM8+O9</f>
        <v>14995848.489999998</v>
      </c>
      <c r="BQ8" s="91">
        <f>AD8+AP8+BB8+BN8</f>
        <v>0</v>
      </c>
      <c r="BR8" s="453">
        <f>AE8+AQ8+BC8+BO8</f>
        <v>0</v>
      </c>
      <c r="BS8" s="270"/>
      <c r="BT8" s="151"/>
      <c r="BU8" s="152"/>
      <c r="BV8" s="145"/>
      <c r="BW8" s="151"/>
      <c r="BX8" s="160"/>
      <c r="BY8" s="140"/>
      <c r="BZ8" s="103"/>
      <c r="CA8" s="135"/>
      <c r="CB8" s="102">
        <f t="shared" si="11"/>
        <v>0</v>
      </c>
      <c r="CC8" s="103">
        <f t="shared" si="11"/>
        <v>0</v>
      </c>
      <c r="CD8" s="104">
        <f t="shared" si="11"/>
        <v>0</v>
      </c>
      <c r="CE8" s="90"/>
      <c r="CF8" s="91"/>
      <c r="CG8" s="131"/>
      <c r="CH8" s="90"/>
      <c r="CI8" s="91"/>
      <c r="CJ8" s="36"/>
      <c r="CK8" s="90"/>
      <c r="CL8" s="91"/>
      <c r="CM8" s="36"/>
      <c r="CN8" s="99">
        <f t="shared" si="12"/>
        <v>0</v>
      </c>
      <c r="CO8" s="100">
        <f t="shared" si="12"/>
        <v>0</v>
      </c>
      <c r="CP8" s="101">
        <f t="shared" si="12"/>
        <v>0</v>
      </c>
      <c r="CQ8" s="392">
        <v>800000</v>
      </c>
      <c r="CR8" s="392">
        <v>750000</v>
      </c>
      <c r="CS8" s="390">
        <v>800000</v>
      </c>
      <c r="CT8" s="391">
        <f>CQ8+CR8+CS8</f>
        <v>2350000</v>
      </c>
      <c r="CU8" s="390">
        <v>800000</v>
      </c>
      <c r="CV8" s="390">
        <v>900000</v>
      </c>
      <c r="CW8" s="390">
        <v>2700000</v>
      </c>
      <c r="CX8" s="170"/>
      <c r="CY8" s="249"/>
      <c r="CZ8" s="289"/>
      <c r="DA8" s="406">
        <f>S8-BP8</f>
        <v>-1658316.0599999987</v>
      </c>
      <c r="DB8" s="476">
        <f>BP8/12</f>
        <v>1249654.0408333333</v>
      </c>
      <c r="DD8" s="482">
        <f>J8+K8+L8+M8+Q8+R8</f>
        <v>10500000</v>
      </c>
      <c r="DE8" s="489"/>
    </row>
    <row r="9" spans="1:109" s="1" customFormat="1" ht="24" customHeight="1" thickBot="1">
      <c r="A9" s="699" t="s">
        <v>35</v>
      </c>
      <c r="B9" s="700"/>
      <c r="C9" s="73">
        <f>C5+C7</f>
        <v>2494901.98</v>
      </c>
      <c r="D9" s="195"/>
      <c r="E9" s="55">
        <v>20539697.48</v>
      </c>
      <c r="F9" s="55">
        <v>8897986.67</v>
      </c>
      <c r="G9" s="55">
        <v>7939488.81</v>
      </c>
      <c r="H9" s="51">
        <v>20313560</v>
      </c>
      <c r="I9" s="431">
        <v>0</v>
      </c>
      <c r="J9" s="438">
        <f>J5+J7+J8</f>
        <v>1693000</v>
      </c>
      <c r="K9" s="438">
        <f>K5+K7+K8</f>
        <v>1693000</v>
      </c>
      <c r="L9" s="438">
        <f>L5+L7+L8</f>
        <v>1693000</v>
      </c>
      <c r="M9" s="438">
        <f>M5+M7+M8</f>
        <v>4822000</v>
      </c>
      <c r="N9" s="283">
        <v>1711641.4566666668</v>
      </c>
      <c r="O9" s="433">
        <v>63740</v>
      </c>
      <c r="P9" s="95"/>
      <c r="Q9" s="353">
        <f>Q5+Q7+Q8</f>
        <v>2411000</v>
      </c>
      <c r="R9" s="353">
        <f>R5+R7+R8</f>
        <v>11013300</v>
      </c>
      <c r="S9" s="353">
        <f>S5+S7+S8+63740</f>
        <v>29939970</v>
      </c>
      <c r="T9" s="92">
        <f aca="true" t="shared" si="13" ref="T9:AY9">T5+T7+T8</f>
        <v>2017367.22</v>
      </c>
      <c r="U9" s="92">
        <f t="shared" si="13"/>
        <v>823929.6000000001</v>
      </c>
      <c r="V9" s="92">
        <f t="shared" si="13"/>
        <v>2224046.14</v>
      </c>
      <c r="W9" s="454">
        <f t="shared" si="13"/>
        <v>2102604.58</v>
      </c>
      <c r="X9" s="454">
        <f t="shared" si="13"/>
        <v>1061220.07</v>
      </c>
      <c r="Y9" s="454">
        <f t="shared" si="13"/>
        <v>274812.30000000005</v>
      </c>
      <c r="Z9" s="454">
        <f t="shared" si="13"/>
        <v>2568918.3</v>
      </c>
      <c r="AA9" s="454">
        <f t="shared" si="13"/>
        <v>1032640.89</v>
      </c>
      <c r="AB9" s="454">
        <f t="shared" si="13"/>
        <v>790063.69</v>
      </c>
      <c r="AC9" s="454">
        <f t="shared" si="13"/>
        <v>6688890.1</v>
      </c>
      <c r="AD9" s="454">
        <f t="shared" si="13"/>
        <v>2917790.56</v>
      </c>
      <c r="AE9" s="454">
        <f t="shared" si="13"/>
        <v>3288922.13</v>
      </c>
      <c r="AF9" s="454">
        <f t="shared" si="13"/>
        <v>2264688.68</v>
      </c>
      <c r="AG9" s="454">
        <f t="shared" si="13"/>
        <v>2002395.97</v>
      </c>
      <c r="AH9" s="454">
        <f t="shared" si="13"/>
        <v>956900.8600000001</v>
      </c>
      <c r="AI9" s="454">
        <f t="shared" si="13"/>
        <v>2306506.34</v>
      </c>
      <c r="AJ9" s="454">
        <f t="shared" si="13"/>
        <v>1753231.6</v>
      </c>
      <c r="AK9" s="454">
        <f t="shared" si="13"/>
        <v>1061220.07</v>
      </c>
      <c r="AL9" s="454">
        <f t="shared" si="13"/>
        <v>2684986.2199999997</v>
      </c>
      <c r="AM9" s="454">
        <f t="shared" si="13"/>
        <v>1348256.92</v>
      </c>
      <c r="AN9" s="73">
        <f t="shared" si="13"/>
        <v>751990.94</v>
      </c>
      <c r="AO9" s="73">
        <f t="shared" si="13"/>
        <v>7256181.24</v>
      </c>
      <c r="AP9" s="73">
        <f t="shared" si="13"/>
        <v>5103884.49</v>
      </c>
      <c r="AQ9" s="73">
        <f t="shared" si="13"/>
        <v>2770111.87</v>
      </c>
      <c r="AR9" s="454">
        <f t="shared" si="13"/>
        <v>2462775.35</v>
      </c>
      <c r="AS9" s="454">
        <f t="shared" si="13"/>
        <v>1297204</v>
      </c>
      <c r="AT9" s="454">
        <f t="shared" si="13"/>
        <v>2283045.92</v>
      </c>
      <c r="AU9" s="454">
        <f t="shared" si="13"/>
        <v>2936276.6500000004</v>
      </c>
      <c r="AV9" s="454">
        <f t="shared" si="13"/>
        <v>997121.8300000001</v>
      </c>
      <c r="AW9" s="454">
        <f t="shared" si="13"/>
        <v>1372313.94</v>
      </c>
      <c r="AX9" s="454">
        <f t="shared" si="13"/>
        <v>2929781.37</v>
      </c>
      <c r="AY9" s="454">
        <f t="shared" si="13"/>
        <v>1878258.29</v>
      </c>
      <c r="AZ9" s="492">
        <f aca="true" t="shared" si="14" ref="AZ9:CE9">AZ5+AZ7+AZ8</f>
        <v>0</v>
      </c>
      <c r="BA9" s="454">
        <f t="shared" si="14"/>
        <v>8328833.37</v>
      </c>
      <c r="BB9" s="454">
        <f t="shared" si="14"/>
        <v>4172584.12</v>
      </c>
      <c r="BC9" s="454">
        <f t="shared" si="14"/>
        <v>3655359.8600000003</v>
      </c>
      <c r="BD9" s="454">
        <f t="shared" si="14"/>
        <v>2435747.44</v>
      </c>
      <c r="BE9" s="454">
        <f t="shared" si="14"/>
        <v>554980.47</v>
      </c>
      <c r="BF9" s="454">
        <f t="shared" si="14"/>
        <v>3026378.58</v>
      </c>
      <c r="BG9" s="454">
        <f t="shared" si="14"/>
        <v>2704303.96</v>
      </c>
      <c r="BH9" s="454">
        <f t="shared" si="14"/>
        <v>1498070.13</v>
      </c>
      <c r="BI9" s="454">
        <f t="shared" si="14"/>
        <v>997121.8300000001</v>
      </c>
      <c r="BJ9" s="454">
        <f t="shared" si="14"/>
        <v>3207088.25</v>
      </c>
      <c r="BK9" s="454">
        <f t="shared" si="14"/>
        <v>2291387.8</v>
      </c>
      <c r="BL9" s="454">
        <f t="shared" si="14"/>
        <v>1878258.29</v>
      </c>
      <c r="BM9" s="454">
        <f t="shared" si="14"/>
        <v>8347139.649999999</v>
      </c>
      <c r="BN9" s="454">
        <f t="shared" si="14"/>
        <v>4344438.4</v>
      </c>
      <c r="BO9" s="454">
        <f t="shared" si="14"/>
        <v>5901758.7</v>
      </c>
      <c r="BP9" s="454">
        <f t="shared" si="14"/>
        <v>30684784.36</v>
      </c>
      <c r="BQ9" s="454">
        <f t="shared" si="14"/>
        <v>16538697.57</v>
      </c>
      <c r="BR9" s="454">
        <f t="shared" si="14"/>
        <v>15616152.56</v>
      </c>
      <c r="BS9" s="92">
        <f t="shared" si="14"/>
        <v>0</v>
      </c>
      <c r="BT9" s="92">
        <f t="shared" si="14"/>
        <v>0</v>
      </c>
      <c r="BU9" s="92">
        <f t="shared" si="14"/>
        <v>0</v>
      </c>
      <c r="BV9" s="92">
        <f t="shared" si="14"/>
        <v>0</v>
      </c>
      <c r="BW9" s="92">
        <f t="shared" si="14"/>
        <v>0</v>
      </c>
      <c r="BX9" s="92">
        <f t="shared" si="14"/>
        <v>0</v>
      </c>
      <c r="BY9" s="92">
        <f t="shared" si="14"/>
        <v>0</v>
      </c>
      <c r="BZ9" s="92">
        <f t="shared" si="14"/>
        <v>0</v>
      </c>
      <c r="CA9" s="92">
        <f t="shared" si="14"/>
        <v>0</v>
      </c>
      <c r="CB9" s="92">
        <f t="shared" si="14"/>
        <v>0</v>
      </c>
      <c r="CC9" s="92">
        <f t="shared" si="14"/>
        <v>0</v>
      </c>
      <c r="CD9" s="92">
        <f t="shared" si="14"/>
        <v>0</v>
      </c>
      <c r="CE9" s="92">
        <f t="shared" si="14"/>
        <v>0</v>
      </c>
      <c r="CF9" s="92">
        <f aca="true" t="shared" si="15" ref="CF9:CX9">CF5+CF7+CF8</f>
        <v>0</v>
      </c>
      <c r="CG9" s="92">
        <f t="shared" si="15"/>
        <v>0</v>
      </c>
      <c r="CH9" s="92">
        <f t="shared" si="15"/>
        <v>0</v>
      </c>
      <c r="CI9" s="92">
        <f t="shared" si="15"/>
        <v>0</v>
      </c>
      <c r="CJ9" s="92">
        <f t="shared" si="15"/>
        <v>0</v>
      </c>
      <c r="CK9" s="92">
        <f t="shared" si="15"/>
        <v>0</v>
      </c>
      <c r="CL9" s="92">
        <f t="shared" si="15"/>
        <v>0</v>
      </c>
      <c r="CM9" s="92">
        <f t="shared" si="15"/>
        <v>0</v>
      </c>
      <c r="CN9" s="92">
        <f t="shared" si="15"/>
        <v>0</v>
      </c>
      <c r="CO9" s="92">
        <f t="shared" si="15"/>
        <v>0</v>
      </c>
      <c r="CP9" s="92">
        <f t="shared" si="15"/>
        <v>0</v>
      </c>
      <c r="CQ9" s="92">
        <f t="shared" si="15"/>
        <v>1696000</v>
      </c>
      <c r="CR9" s="92">
        <f t="shared" si="15"/>
        <v>1600000</v>
      </c>
      <c r="CS9" s="92">
        <f t="shared" si="15"/>
        <v>1600000</v>
      </c>
      <c r="CT9" s="92">
        <f t="shared" si="15"/>
        <v>4896000</v>
      </c>
      <c r="CU9" s="92">
        <f t="shared" si="15"/>
        <v>1600000</v>
      </c>
      <c r="CV9" s="92">
        <f t="shared" si="15"/>
        <v>1600000</v>
      </c>
      <c r="CW9" s="92">
        <f t="shared" si="15"/>
        <v>5564260</v>
      </c>
      <c r="CX9" s="454">
        <f t="shared" si="15"/>
        <v>3499027.9999999995</v>
      </c>
      <c r="CY9" s="250">
        <f>AC8+AD9-CT9</f>
        <v>1535418.6899999995</v>
      </c>
      <c r="CZ9" s="684">
        <f>CZ5+CZ7+DA8</f>
        <v>-1658316.0599999987</v>
      </c>
      <c r="DA9" s="676"/>
      <c r="DB9" s="478">
        <f>BP9/12</f>
        <v>2557065.3633333333</v>
      </c>
      <c r="DD9" s="518">
        <f>DD5+DD7+DD8+O9</f>
        <v>23389040</v>
      </c>
      <c r="DE9" s="655">
        <f>BP8+BQ9-S9</f>
        <v>1594576.0599999987</v>
      </c>
    </row>
    <row r="10" spans="1:109" s="1" customFormat="1" ht="16.5" customHeight="1" thickBot="1">
      <c r="A10" s="30"/>
      <c r="B10" s="31" t="s">
        <v>136</v>
      </c>
      <c r="C10" s="366"/>
      <c r="D10" s="196"/>
      <c r="E10" s="99">
        <v>3629788.99</v>
      </c>
      <c r="F10" s="100">
        <v>0</v>
      </c>
      <c r="G10" s="101">
        <v>0</v>
      </c>
      <c r="H10" s="220">
        <v>3599815</v>
      </c>
      <c r="I10" s="420"/>
      <c r="J10" s="323">
        <v>173000</v>
      </c>
      <c r="K10" s="323">
        <v>173000</v>
      </c>
      <c r="L10" s="323">
        <v>73000</v>
      </c>
      <c r="M10" s="323">
        <v>700000</v>
      </c>
      <c r="N10" s="283">
        <v>302482.41583333333</v>
      </c>
      <c r="O10" s="58">
        <v>29973.990000000224</v>
      </c>
      <c r="P10" s="339"/>
      <c r="Q10" s="502">
        <f>500000+600000</f>
        <v>1100000</v>
      </c>
      <c r="R10" s="511">
        <f>900000+500000</f>
        <v>1400000</v>
      </c>
      <c r="S10" s="632">
        <f>J10+K10+L10+M10+Q10+R10+400000-11597.97+21475.42</f>
        <v>4028877.4499999997</v>
      </c>
      <c r="T10" s="261">
        <v>310455.91</v>
      </c>
      <c r="U10" s="45"/>
      <c r="V10" s="47"/>
      <c r="W10" s="44">
        <v>413490.54</v>
      </c>
      <c r="X10" s="45"/>
      <c r="Y10" s="47"/>
      <c r="Z10" s="44">
        <v>397238.16</v>
      </c>
      <c r="AA10" s="45"/>
      <c r="AB10" s="47"/>
      <c r="AC10" s="90">
        <f>T10+W10+Z10</f>
        <v>1121184.6099999999</v>
      </c>
      <c r="AD10" s="91">
        <f>U10+X10+AA10</f>
        <v>0</v>
      </c>
      <c r="AE10" s="36">
        <f>V10+Y10+AB10</f>
        <v>0</v>
      </c>
      <c r="AF10" s="44">
        <v>249026.76</v>
      </c>
      <c r="AG10" s="46">
        <v>0</v>
      </c>
      <c r="AH10" s="21">
        <v>0</v>
      </c>
      <c r="AI10" s="44">
        <v>237649.02</v>
      </c>
      <c r="AJ10" s="46"/>
      <c r="AK10" s="47"/>
      <c r="AL10" s="44">
        <v>197434.35</v>
      </c>
      <c r="AM10" s="46"/>
      <c r="AN10" s="109"/>
      <c r="AO10" s="90">
        <f>AF10+AI10+AL10</f>
        <v>684110.13</v>
      </c>
      <c r="AP10" s="91">
        <f>AG10+AJ10+AM10</f>
        <v>0</v>
      </c>
      <c r="AQ10" s="131">
        <f>AH10+AK10+AN10</f>
        <v>0</v>
      </c>
      <c r="AR10" s="44">
        <v>276796.38</v>
      </c>
      <c r="AS10" s="46"/>
      <c r="AT10" s="21"/>
      <c r="AU10" s="44">
        <v>333966.06</v>
      </c>
      <c r="AV10" s="46"/>
      <c r="AW10" s="21"/>
      <c r="AX10" s="44">
        <v>318996.56</v>
      </c>
      <c r="AY10" s="47"/>
      <c r="AZ10" s="272"/>
      <c r="BA10" s="44">
        <f>AR10+AU10+AX10</f>
        <v>929759</v>
      </c>
      <c r="BB10" s="45">
        <f>AS10+AV10+AY10</f>
        <v>0</v>
      </c>
      <c r="BC10" s="46">
        <f>AT10+AW10+AZ10</f>
        <v>0</v>
      </c>
      <c r="BD10" s="647">
        <f>272725.28+162397.93</f>
        <v>435123.21</v>
      </c>
      <c r="BE10" s="46"/>
      <c r="BF10" s="109"/>
      <c r="BG10" s="44">
        <v>252847.86</v>
      </c>
      <c r="BH10" s="46"/>
      <c r="BI10" s="21"/>
      <c r="BJ10" s="666">
        <f>220237.46+51988.2</f>
        <v>272225.66</v>
      </c>
      <c r="BK10" s="46"/>
      <c r="BL10" s="109"/>
      <c r="BM10" s="44">
        <f aca="true" t="shared" si="16" ref="BM10:BO13">BD10+BG10+BJ10</f>
        <v>960196.73</v>
      </c>
      <c r="BN10" s="45">
        <f t="shared" si="16"/>
        <v>0</v>
      </c>
      <c r="BO10" s="46">
        <f t="shared" si="16"/>
        <v>0</v>
      </c>
      <c r="BP10" s="640">
        <f>AC10+AO10+BA10+BM10+O14</f>
        <v>3865090.4699999997</v>
      </c>
      <c r="BQ10" s="91">
        <f aca="true" t="shared" si="17" ref="BQ10:BR13">AD10+AP10+BB10+BN10</f>
        <v>0</v>
      </c>
      <c r="BR10" s="453">
        <f t="shared" si="17"/>
        <v>0</v>
      </c>
      <c r="BS10" s="269"/>
      <c r="BT10" s="149"/>
      <c r="BU10" s="150"/>
      <c r="BV10" s="144"/>
      <c r="BW10" s="149"/>
      <c r="BX10" s="161"/>
      <c r="BY10" s="141"/>
      <c r="BZ10" s="100"/>
      <c r="CA10" s="136"/>
      <c r="CB10" s="99">
        <f>BS10+BV10+BY10</f>
        <v>0</v>
      </c>
      <c r="CC10" s="100">
        <f>BT10+BW10+BZ10</f>
        <v>0</v>
      </c>
      <c r="CD10" s="101">
        <f>BU10+BX10+CA10</f>
        <v>0</v>
      </c>
      <c r="CE10" s="90"/>
      <c r="CF10" s="91"/>
      <c r="CG10" s="131"/>
      <c r="CH10" s="90"/>
      <c r="CI10" s="91"/>
      <c r="CJ10" s="36"/>
      <c r="CK10" s="90"/>
      <c r="CL10" s="91"/>
      <c r="CM10" s="36"/>
      <c r="CN10" s="99">
        <f>CE10+CH10+CK10</f>
        <v>0</v>
      </c>
      <c r="CO10" s="100">
        <f>CF10+CI10+CL10</f>
        <v>0</v>
      </c>
      <c r="CP10" s="101">
        <f>CG10+CJ10+CM10</f>
        <v>0</v>
      </c>
      <c r="CQ10" s="392">
        <v>100000</v>
      </c>
      <c r="CR10" s="392">
        <v>100000</v>
      </c>
      <c r="CS10" s="390">
        <v>100000</v>
      </c>
      <c r="CT10" s="391">
        <f>CQ10+CR10+CS10</f>
        <v>300000</v>
      </c>
      <c r="CU10" s="390">
        <v>600000</v>
      </c>
      <c r="CV10" s="390">
        <v>300000</v>
      </c>
      <c r="CW10" s="390">
        <v>900000</v>
      </c>
      <c r="CX10" s="464"/>
      <c r="CY10" s="251"/>
      <c r="CZ10" s="290"/>
      <c r="DA10" s="407">
        <f>S10-BP10</f>
        <v>163786.97999999998</v>
      </c>
      <c r="DB10" s="477">
        <f>BP10/12</f>
        <v>322090.8725</v>
      </c>
      <c r="DD10" s="484">
        <f>J10+K10+L10+M10+Q10+R10</f>
        <v>3619000</v>
      </c>
      <c r="DE10" s="649"/>
    </row>
    <row r="11" spans="1:109" s="1" customFormat="1" ht="16.5" customHeight="1" thickBot="1">
      <c r="A11" s="536"/>
      <c r="B11" s="537" t="s">
        <v>137</v>
      </c>
      <c r="C11" s="368"/>
      <c r="D11" s="284"/>
      <c r="E11" s="99"/>
      <c r="F11" s="100"/>
      <c r="G11" s="101"/>
      <c r="H11" s="220"/>
      <c r="I11" s="420"/>
      <c r="J11" s="323"/>
      <c r="K11" s="323"/>
      <c r="L11" s="323"/>
      <c r="M11" s="323"/>
      <c r="N11" s="283"/>
      <c r="O11" s="58"/>
      <c r="P11" s="339"/>
      <c r="Q11" s="502"/>
      <c r="R11" s="511"/>
      <c r="S11" s="650">
        <f>8830+13230</f>
        <v>22060</v>
      </c>
      <c r="T11" s="261"/>
      <c r="U11" s="45"/>
      <c r="V11" s="47"/>
      <c r="W11" s="44"/>
      <c r="X11" s="45"/>
      <c r="Y11" s="47"/>
      <c r="Z11" s="44"/>
      <c r="AA11" s="45"/>
      <c r="AB11" s="47"/>
      <c r="AC11" s="90"/>
      <c r="AD11" s="91"/>
      <c r="AE11" s="36"/>
      <c r="AF11" s="44"/>
      <c r="AG11" s="46"/>
      <c r="AH11" s="21"/>
      <c r="AI11" s="44"/>
      <c r="AJ11" s="46"/>
      <c r="AK11" s="47"/>
      <c r="AL11" s="44"/>
      <c r="AM11" s="46"/>
      <c r="AN11" s="109"/>
      <c r="AO11" s="90"/>
      <c r="AP11" s="91"/>
      <c r="AQ11" s="131"/>
      <c r="AR11" s="44">
        <v>4411.91</v>
      </c>
      <c r="AS11" s="46"/>
      <c r="AT11" s="21"/>
      <c r="AU11" s="44">
        <v>0</v>
      </c>
      <c r="AV11" s="46"/>
      <c r="AW11" s="21"/>
      <c r="AX11" s="44">
        <v>4411.91</v>
      </c>
      <c r="AY11" s="47"/>
      <c r="AZ11" s="272"/>
      <c r="BA11" s="44">
        <f>AR11+AU11+AX11</f>
        <v>8823.82</v>
      </c>
      <c r="BB11" s="45"/>
      <c r="BC11" s="46"/>
      <c r="BD11" s="45">
        <v>0</v>
      </c>
      <c r="BE11" s="46"/>
      <c r="BF11" s="109"/>
      <c r="BG11" s="44">
        <v>4411.91</v>
      </c>
      <c r="BH11" s="46"/>
      <c r="BI11" s="21"/>
      <c r="BJ11" s="261">
        <v>0</v>
      </c>
      <c r="BK11" s="46"/>
      <c r="BL11" s="109"/>
      <c r="BM11" s="44">
        <f t="shared" si="16"/>
        <v>4411.91</v>
      </c>
      <c r="BN11" s="45">
        <f t="shared" si="16"/>
        <v>0</v>
      </c>
      <c r="BO11" s="46">
        <f t="shared" si="16"/>
        <v>0</v>
      </c>
      <c r="BP11" s="90">
        <f>AC11+AO11+BA11+BM11</f>
        <v>13235.73</v>
      </c>
      <c r="BQ11" s="91">
        <f t="shared" si="17"/>
        <v>0</v>
      </c>
      <c r="BR11" s="453">
        <f t="shared" si="17"/>
        <v>0</v>
      </c>
      <c r="BS11" s="269"/>
      <c r="BT11" s="149"/>
      <c r="BU11" s="150"/>
      <c r="BV11" s="144"/>
      <c r="BW11" s="149"/>
      <c r="BX11" s="161"/>
      <c r="BY11" s="141"/>
      <c r="BZ11" s="100"/>
      <c r="CA11" s="136"/>
      <c r="CB11" s="99"/>
      <c r="CC11" s="100"/>
      <c r="CD11" s="101"/>
      <c r="CE11" s="90"/>
      <c r="CF11" s="91"/>
      <c r="CG11" s="131"/>
      <c r="CH11" s="90"/>
      <c r="CI11" s="91"/>
      <c r="CJ11" s="36"/>
      <c r="CK11" s="90"/>
      <c r="CL11" s="91"/>
      <c r="CM11" s="36"/>
      <c r="CN11" s="99"/>
      <c r="CO11" s="100"/>
      <c r="CP11" s="101"/>
      <c r="CQ11" s="392"/>
      <c r="CR11" s="392"/>
      <c r="CS11" s="390"/>
      <c r="CT11" s="391"/>
      <c r="CU11" s="390"/>
      <c r="CV11" s="390"/>
      <c r="CW11" s="390"/>
      <c r="CX11" s="464"/>
      <c r="CY11" s="251"/>
      <c r="CZ11" s="296"/>
      <c r="DA11" s="407">
        <f>S11-BP11</f>
        <v>8824.27</v>
      </c>
      <c r="DB11" s="477"/>
      <c r="DD11" s="648">
        <v>8830</v>
      </c>
      <c r="DE11" s="652">
        <f>BP11-S11</f>
        <v>-8824.27</v>
      </c>
    </row>
    <row r="12" spans="1:109" s="1" customFormat="1" ht="16.5" customHeight="1">
      <c r="A12" s="30"/>
      <c r="B12" s="31" t="s">
        <v>107</v>
      </c>
      <c r="C12" s="624">
        <v>413832.87</v>
      </c>
      <c r="D12" s="623"/>
      <c r="E12" s="90">
        <v>1771963.25</v>
      </c>
      <c r="F12" s="91">
        <v>2163491.07</v>
      </c>
      <c r="G12" s="36">
        <v>735809.17</v>
      </c>
      <c r="H12" s="220">
        <v>2163520</v>
      </c>
      <c r="I12" s="251"/>
      <c r="J12" s="320">
        <v>400000</v>
      </c>
      <c r="K12" s="320">
        <v>400000</v>
      </c>
      <c r="L12" s="320">
        <v>400000</v>
      </c>
      <c r="M12" s="320">
        <v>850000</v>
      </c>
      <c r="N12" s="283">
        <v>147663.60416666666</v>
      </c>
      <c r="O12" s="47">
        <v>-28.929999999701977</v>
      </c>
      <c r="P12" s="272"/>
      <c r="Q12" s="503">
        <f>686970+1000000</f>
        <v>1686970</v>
      </c>
      <c r="R12" s="513">
        <f>1451960+1939620</f>
        <v>3391580</v>
      </c>
      <c r="S12" s="633">
        <f>J12+K12+L12+M12+Q12+R12+1524110+11597.97</f>
        <v>8664257.97</v>
      </c>
      <c r="T12" s="261">
        <v>539195.38</v>
      </c>
      <c r="U12" s="45">
        <v>399674.52</v>
      </c>
      <c r="V12" s="47">
        <v>680379.64</v>
      </c>
      <c r="W12" s="44">
        <v>483598.79</v>
      </c>
      <c r="X12" s="45">
        <v>399370.5</v>
      </c>
      <c r="Y12" s="47">
        <v>34687.7</v>
      </c>
      <c r="Z12" s="44">
        <v>565336.87</v>
      </c>
      <c r="AA12" s="45">
        <v>556744.31</v>
      </c>
      <c r="AB12" s="47">
        <v>712614.56</v>
      </c>
      <c r="AC12" s="90">
        <f aca="true" t="shared" si="18" ref="AC12:AE13">T12+W12+Z12</f>
        <v>1588131.04</v>
      </c>
      <c r="AD12" s="91">
        <f t="shared" si="18"/>
        <v>1355789.33</v>
      </c>
      <c r="AE12" s="36">
        <f t="shared" si="18"/>
        <v>1427681.9</v>
      </c>
      <c r="AF12" s="44">
        <v>564441.11</v>
      </c>
      <c r="AG12" s="46">
        <v>852026.4</v>
      </c>
      <c r="AH12" s="21">
        <v>399674.52</v>
      </c>
      <c r="AI12" s="44">
        <v>507206.62</v>
      </c>
      <c r="AJ12" s="46">
        <v>510670.34</v>
      </c>
      <c r="AK12" s="47">
        <v>399370.5</v>
      </c>
      <c r="AL12" s="44">
        <v>507706.2</v>
      </c>
      <c r="AM12" s="46">
        <v>1749058.69</v>
      </c>
      <c r="AN12" s="109">
        <v>234456.94</v>
      </c>
      <c r="AO12" s="90">
        <f aca="true" t="shared" si="19" ref="AO12:AQ13">AF12+AI12+AL12</f>
        <v>1579353.93</v>
      </c>
      <c r="AP12" s="91">
        <f t="shared" si="19"/>
        <v>3111755.4299999997</v>
      </c>
      <c r="AQ12" s="131">
        <f t="shared" si="19"/>
        <v>1033501.96</v>
      </c>
      <c r="AR12" s="44">
        <v>555082.28</v>
      </c>
      <c r="AS12" s="46">
        <v>447909.12</v>
      </c>
      <c r="AT12" s="21">
        <v>1209344.5</v>
      </c>
      <c r="AU12" s="44">
        <v>609190.1</v>
      </c>
      <c r="AV12" s="46">
        <v>1000607.93</v>
      </c>
      <c r="AW12" s="21">
        <v>475639.61</v>
      </c>
      <c r="AX12" s="44">
        <v>754897.53</v>
      </c>
      <c r="AY12" s="47">
        <v>0</v>
      </c>
      <c r="AZ12" s="272">
        <v>1749058.69</v>
      </c>
      <c r="BA12" s="44">
        <f>AR12+AU12+AX12</f>
        <v>1919169.91</v>
      </c>
      <c r="BB12" s="45">
        <f>AS12+AV12+AY12</f>
        <v>1448517.05</v>
      </c>
      <c r="BC12" s="46">
        <f>AT12+AW12+AZ12</f>
        <v>3434042.8</v>
      </c>
      <c r="BD12" s="45">
        <v>771675.28</v>
      </c>
      <c r="BE12" s="46">
        <v>1197690.86</v>
      </c>
      <c r="BF12" s="109">
        <v>447909.12</v>
      </c>
      <c r="BG12" s="44">
        <v>939900.89</v>
      </c>
      <c r="BH12" s="46">
        <v>710027.88</v>
      </c>
      <c r="BI12" s="21">
        <v>1000607.93</v>
      </c>
      <c r="BJ12" s="261">
        <v>830281.99</v>
      </c>
      <c r="BK12" s="46">
        <v>840477.42</v>
      </c>
      <c r="BL12" s="109"/>
      <c r="BM12" s="44">
        <f t="shared" si="16"/>
        <v>2541858.16</v>
      </c>
      <c r="BN12" s="45">
        <f t="shared" si="16"/>
        <v>2748196.16</v>
      </c>
      <c r="BO12" s="46">
        <f t="shared" si="16"/>
        <v>1448517.05</v>
      </c>
      <c r="BP12" s="90">
        <f>AC12+AO12+BA12+BM12</f>
        <v>7628513.04</v>
      </c>
      <c r="BQ12" s="91">
        <f t="shared" si="17"/>
        <v>8664257.969999999</v>
      </c>
      <c r="BR12" s="453">
        <f t="shared" si="17"/>
        <v>7343743.71</v>
      </c>
      <c r="BS12" s="269"/>
      <c r="BT12" s="149"/>
      <c r="BU12" s="150"/>
      <c r="BV12" s="144"/>
      <c r="BW12" s="149"/>
      <c r="BX12" s="161"/>
      <c r="BY12" s="141"/>
      <c r="BZ12" s="100"/>
      <c r="CA12" s="136"/>
      <c r="CB12" s="99"/>
      <c r="CC12" s="100"/>
      <c r="CD12" s="101"/>
      <c r="CE12" s="90"/>
      <c r="CF12" s="91"/>
      <c r="CG12" s="131"/>
      <c r="CH12" s="90"/>
      <c r="CI12" s="91"/>
      <c r="CJ12" s="36"/>
      <c r="CK12" s="90"/>
      <c r="CL12" s="91"/>
      <c r="CM12" s="36"/>
      <c r="CN12" s="99"/>
      <c r="CO12" s="100"/>
      <c r="CP12" s="101"/>
      <c r="CQ12" s="392"/>
      <c r="CR12" s="392"/>
      <c r="CS12" s="390"/>
      <c r="CT12" s="391"/>
      <c r="CU12" s="390"/>
      <c r="CV12" s="390"/>
      <c r="CW12" s="390">
        <v>700000</v>
      </c>
      <c r="CX12" s="464">
        <f>C12+BQ12-BP12-16155.28+4156.48-63817.33</f>
        <v>1373761.6699999978</v>
      </c>
      <c r="CY12" s="251"/>
      <c r="CZ12" s="291">
        <f>S12-BQ12</f>
        <v>0</v>
      </c>
      <c r="DA12" s="408"/>
      <c r="DB12" s="283">
        <f aca="true" t="shared" si="20" ref="DB12:DB17">BP12/12</f>
        <v>635709.42</v>
      </c>
      <c r="DD12" s="484">
        <f>J12+K12+L12+M12+Q12+R12</f>
        <v>7128550</v>
      </c>
      <c r="DE12" s="667"/>
    </row>
    <row r="13" spans="1:109" s="1" customFormat="1" ht="16.5" customHeight="1" thickBot="1">
      <c r="A13" s="37"/>
      <c r="B13" s="38" t="s">
        <v>108</v>
      </c>
      <c r="C13" s="367">
        <v>1013314.51</v>
      </c>
      <c r="D13" s="197"/>
      <c r="E13" s="102">
        <v>4147836.88</v>
      </c>
      <c r="F13" s="103">
        <v>4712604.74</v>
      </c>
      <c r="G13" s="104">
        <v>4509842.932</v>
      </c>
      <c r="H13" s="418">
        <v>4712605</v>
      </c>
      <c r="I13" s="419"/>
      <c r="J13" s="417">
        <v>300000</v>
      </c>
      <c r="K13" s="417">
        <v>300000</v>
      </c>
      <c r="L13" s="417">
        <v>400000</v>
      </c>
      <c r="M13" s="417">
        <v>823950</v>
      </c>
      <c r="N13" s="283">
        <v>345653.0733333333</v>
      </c>
      <c r="O13" s="267">
        <v>-0.2599999997764826</v>
      </c>
      <c r="P13" s="303"/>
      <c r="Q13" s="501">
        <v>975210</v>
      </c>
      <c r="R13" s="512">
        <f>1300000+1700000</f>
        <v>3000000</v>
      </c>
      <c r="S13" s="633">
        <f>J13+K13+L13+M13+Q13+R13+1200000-21475.42</f>
        <v>6977684.58</v>
      </c>
      <c r="T13" s="261">
        <v>337322.01</v>
      </c>
      <c r="U13" s="45">
        <v>170502.93</v>
      </c>
      <c r="V13" s="47">
        <v>627198.71</v>
      </c>
      <c r="W13" s="44">
        <v>431508.73</v>
      </c>
      <c r="X13" s="45">
        <v>283167.54</v>
      </c>
      <c r="Y13" s="47">
        <v>203523.36</v>
      </c>
      <c r="Z13" s="44">
        <v>540577.72</v>
      </c>
      <c r="AA13" s="45">
        <v>428584.3</v>
      </c>
      <c r="AB13" s="47">
        <f>16.75+550991.77</f>
        <v>551008.52</v>
      </c>
      <c r="AC13" s="90">
        <f t="shared" si="18"/>
        <v>1309408.46</v>
      </c>
      <c r="AD13" s="91">
        <f t="shared" si="18"/>
        <v>882254.77</v>
      </c>
      <c r="AE13" s="36">
        <f t="shared" si="18"/>
        <v>1381730.5899999999</v>
      </c>
      <c r="AF13" s="44">
        <v>399137.56</v>
      </c>
      <c r="AG13" s="46">
        <v>222826.2</v>
      </c>
      <c r="AH13" s="21">
        <v>170486.18</v>
      </c>
      <c r="AI13" s="44">
        <v>576757.78</v>
      </c>
      <c r="AJ13" s="46">
        <v>718626.56</v>
      </c>
      <c r="AK13" s="47">
        <v>283167.54</v>
      </c>
      <c r="AL13" s="44">
        <v>562039.01</v>
      </c>
      <c r="AM13" s="46">
        <v>940826.16</v>
      </c>
      <c r="AN13" s="109">
        <v>180519.71</v>
      </c>
      <c r="AO13" s="90">
        <f t="shared" si="19"/>
        <v>1537934.35</v>
      </c>
      <c r="AP13" s="91">
        <f t="shared" si="19"/>
        <v>1882278.92</v>
      </c>
      <c r="AQ13" s="131">
        <f t="shared" si="19"/>
        <v>634173.4299999999</v>
      </c>
      <c r="AR13" s="44">
        <v>364379.14</v>
      </c>
      <c r="AS13" s="46">
        <v>716404.97</v>
      </c>
      <c r="AT13" s="21">
        <v>470890.79</v>
      </c>
      <c r="AU13" s="44">
        <v>577148.62</v>
      </c>
      <c r="AV13" s="46">
        <f>578281.46+16749.77</f>
        <v>595031.23</v>
      </c>
      <c r="AW13" s="21">
        <v>718626.56</v>
      </c>
      <c r="AX13" s="44">
        <v>660320.45</v>
      </c>
      <c r="AY13" s="47">
        <v>283736.29</v>
      </c>
      <c r="AZ13" s="272">
        <v>940826.16</v>
      </c>
      <c r="BA13" s="44">
        <f>AR13+AU13+AX13</f>
        <v>1601848.21</v>
      </c>
      <c r="BB13" s="45">
        <f>AS13+AV13+AY13</f>
        <v>1595172.49</v>
      </c>
      <c r="BC13" s="46">
        <f>AT13+AW13+AZ13</f>
        <v>2130343.5100000002</v>
      </c>
      <c r="BD13" s="45">
        <v>379735.39</v>
      </c>
      <c r="BE13" s="46">
        <f>223485.63+783652.45</f>
        <v>1007138.08</v>
      </c>
      <c r="BF13" s="109">
        <f>716404.97+32684.01</f>
        <v>749088.98</v>
      </c>
      <c r="BG13" s="44">
        <v>563762.76</v>
      </c>
      <c r="BH13" s="46">
        <v>394863.3</v>
      </c>
      <c r="BI13" s="21">
        <f>15968.93+562347.22</f>
        <v>578316.15</v>
      </c>
      <c r="BJ13" s="261">
        <v>480597.56</v>
      </c>
      <c r="BK13" s="46">
        <v>1215977.02</v>
      </c>
      <c r="BL13" s="109"/>
      <c r="BM13" s="44">
        <f t="shared" si="16"/>
        <v>1424095.71</v>
      </c>
      <c r="BN13" s="45">
        <f t="shared" si="16"/>
        <v>2617978.4</v>
      </c>
      <c r="BO13" s="46">
        <f t="shared" si="16"/>
        <v>1327405.13</v>
      </c>
      <c r="BP13" s="90">
        <f>AC13+AO13+BA13+BM13</f>
        <v>5873286.7299999995</v>
      </c>
      <c r="BQ13" s="91">
        <f t="shared" si="17"/>
        <v>6977684.58</v>
      </c>
      <c r="BR13" s="453">
        <f t="shared" si="17"/>
        <v>5473652.66</v>
      </c>
      <c r="BS13" s="271"/>
      <c r="BT13" s="154"/>
      <c r="BU13" s="155"/>
      <c r="BV13" s="153"/>
      <c r="BW13" s="154"/>
      <c r="BX13" s="159"/>
      <c r="BY13" s="139"/>
      <c r="BZ13" s="91"/>
      <c r="CA13" s="131"/>
      <c r="CB13" s="90">
        <f>BS13+BV13+BY13</f>
        <v>0</v>
      </c>
      <c r="CC13" s="91">
        <f>BT13+BW13+BZ13</f>
        <v>0</v>
      </c>
      <c r="CD13" s="36">
        <f>BU13+BX13+CA13</f>
        <v>0</v>
      </c>
      <c r="CE13" s="90"/>
      <c r="CF13" s="91"/>
      <c r="CG13" s="131"/>
      <c r="CH13" s="90"/>
      <c r="CI13" s="91"/>
      <c r="CJ13" s="36"/>
      <c r="CK13" s="90"/>
      <c r="CL13" s="91"/>
      <c r="CM13" s="36"/>
      <c r="CN13" s="99">
        <f>CE13+CH13+CK13</f>
        <v>0</v>
      </c>
      <c r="CO13" s="100">
        <f>CF13+CI13+CL13</f>
        <v>0</v>
      </c>
      <c r="CP13" s="101">
        <f>CG13+CJ13+CM13</f>
        <v>0</v>
      </c>
      <c r="CQ13" s="392">
        <v>259000</v>
      </c>
      <c r="CR13" s="392">
        <v>284000</v>
      </c>
      <c r="CS13" s="390">
        <v>284000</v>
      </c>
      <c r="CT13" s="391">
        <f>CQ13+CR13+CS13</f>
        <v>827000</v>
      </c>
      <c r="CU13" s="390">
        <v>2176000</v>
      </c>
      <c r="CV13" s="390">
        <v>676000</v>
      </c>
      <c r="CW13" s="390">
        <f>2129420-700000</f>
        <v>1429420</v>
      </c>
      <c r="CX13" s="464">
        <f>C13+BQ13-BP13+32222.1-281957.03</f>
        <v>1867977.4300000004</v>
      </c>
      <c r="CY13" s="251"/>
      <c r="CZ13" s="291">
        <f>S13-BQ13</f>
        <v>0</v>
      </c>
      <c r="DA13" s="409"/>
      <c r="DB13" s="283">
        <f t="shared" si="20"/>
        <v>489440.5608333333</v>
      </c>
      <c r="DD13" s="484">
        <f>J13+K13+L13+M13+Q13+R13</f>
        <v>5799160</v>
      </c>
      <c r="DE13" s="653"/>
    </row>
    <row r="14" spans="1:109" s="1" customFormat="1" ht="16.5" customHeight="1" thickBot="1">
      <c r="A14" s="699" t="s">
        <v>143</v>
      </c>
      <c r="B14" s="700"/>
      <c r="C14" s="668">
        <f>C12+C13</f>
        <v>1427147.38</v>
      </c>
      <c r="D14" s="200">
        <v>140000</v>
      </c>
      <c r="E14" s="55">
        <v>9549589.120000001</v>
      </c>
      <c r="F14" s="55">
        <v>6876095.8100000005</v>
      </c>
      <c r="G14" s="55">
        <v>5245652.102</v>
      </c>
      <c r="H14" s="359">
        <v>10475940</v>
      </c>
      <c r="I14" s="432">
        <v>0</v>
      </c>
      <c r="J14" s="359">
        <f>J10+J12+J13</f>
        <v>873000</v>
      </c>
      <c r="K14" s="359">
        <f>K10+K12+K13</f>
        <v>873000</v>
      </c>
      <c r="L14" s="359">
        <f>L10+L12+L13</f>
        <v>873000</v>
      </c>
      <c r="M14" s="359">
        <f>M10+M12+M13</f>
        <v>2373950</v>
      </c>
      <c r="N14" s="283">
        <v>795799.0933333334</v>
      </c>
      <c r="O14" s="433">
        <v>169840</v>
      </c>
      <c r="P14" s="95"/>
      <c r="Q14" s="353">
        <f>Q10+Q12+Q13</f>
        <v>3762180</v>
      </c>
      <c r="R14" s="353">
        <f>R10+R12+R13</f>
        <v>7791580</v>
      </c>
      <c r="S14" s="669">
        <f>S10+S12+S13+169840</f>
        <v>19840660</v>
      </c>
      <c r="T14" s="670">
        <f aca="true" t="shared" si="21" ref="T14:AQ14">T10+T12+T13</f>
        <v>1186973.3</v>
      </c>
      <c r="U14" s="670">
        <f t="shared" si="21"/>
        <v>570177.45</v>
      </c>
      <c r="V14" s="670">
        <f t="shared" si="21"/>
        <v>1307578.35</v>
      </c>
      <c r="W14" s="670">
        <f t="shared" si="21"/>
        <v>1328598.06</v>
      </c>
      <c r="X14" s="670">
        <f t="shared" si="21"/>
        <v>682538.04</v>
      </c>
      <c r="Y14" s="670">
        <f t="shared" si="21"/>
        <v>238211.06</v>
      </c>
      <c r="Z14" s="670">
        <f t="shared" si="21"/>
        <v>1503152.75</v>
      </c>
      <c r="AA14" s="670">
        <f t="shared" si="21"/>
        <v>985328.6100000001</v>
      </c>
      <c r="AB14" s="670">
        <f t="shared" si="21"/>
        <v>1263623.08</v>
      </c>
      <c r="AC14" s="670">
        <f t="shared" si="21"/>
        <v>4018724.11</v>
      </c>
      <c r="AD14" s="670">
        <f t="shared" si="21"/>
        <v>2238044.1</v>
      </c>
      <c r="AE14" s="670">
        <f t="shared" si="21"/>
        <v>2809412.4899999998</v>
      </c>
      <c r="AF14" s="670">
        <f t="shared" si="21"/>
        <v>1212605.43</v>
      </c>
      <c r="AG14" s="670">
        <f t="shared" si="21"/>
        <v>1074852.6</v>
      </c>
      <c r="AH14" s="670">
        <f t="shared" si="21"/>
        <v>570160.7</v>
      </c>
      <c r="AI14" s="670">
        <f t="shared" si="21"/>
        <v>1321613.42</v>
      </c>
      <c r="AJ14" s="670">
        <f t="shared" si="21"/>
        <v>1229296.9000000001</v>
      </c>
      <c r="AK14" s="670">
        <f t="shared" si="21"/>
        <v>682538.04</v>
      </c>
      <c r="AL14" s="670">
        <f t="shared" si="21"/>
        <v>1267179.56</v>
      </c>
      <c r="AM14" s="670">
        <f t="shared" si="21"/>
        <v>2689884.85</v>
      </c>
      <c r="AN14" s="671">
        <f t="shared" si="21"/>
        <v>414976.65</v>
      </c>
      <c r="AO14" s="671">
        <f t="shared" si="21"/>
        <v>3801398.41</v>
      </c>
      <c r="AP14" s="671">
        <f t="shared" si="21"/>
        <v>4994034.35</v>
      </c>
      <c r="AQ14" s="671">
        <f t="shared" si="21"/>
        <v>1667675.39</v>
      </c>
      <c r="AR14" s="670">
        <f>SUM(AR10:AR13)</f>
        <v>1200669.71</v>
      </c>
      <c r="AS14" s="670">
        <f>AS10+AS12+AS13</f>
        <v>1164314.0899999999</v>
      </c>
      <c r="AT14" s="670">
        <f>AT10+AT12+AT13</f>
        <v>1680235.29</v>
      </c>
      <c r="AU14" s="672">
        <f>AU10+AU12+AU13</f>
        <v>1520304.7799999998</v>
      </c>
      <c r="AV14" s="672">
        <f>AV10+AV12+AV13</f>
        <v>1595639.1600000001</v>
      </c>
      <c r="AW14" s="670">
        <f>AW10+AW12+AW13</f>
        <v>1194266.17</v>
      </c>
      <c r="AX14" s="670">
        <f>AX10+AX11+AX12+AX13</f>
        <v>1738626.45</v>
      </c>
      <c r="AY14" s="670">
        <f>AY10+AY12+AY13</f>
        <v>283736.29</v>
      </c>
      <c r="AZ14" s="673">
        <f>AZ10+AZ12+AZ13</f>
        <v>2689884.85</v>
      </c>
      <c r="BA14" s="674">
        <f aca="true" t="shared" si="22" ref="BA14:CF14">SUM(BA10:BA13)</f>
        <v>4459600.9399999995</v>
      </c>
      <c r="BB14" s="674">
        <f t="shared" si="22"/>
        <v>3043689.54</v>
      </c>
      <c r="BC14" s="674">
        <f t="shared" si="22"/>
        <v>5564386.3100000005</v>
      </c>
      <c r="BD14" s="674">
        <f t="shared" si="22"/>
        <v>1586533.88</v>
      </c>
      <c r="BE14" s="674">
        <f t="shared" si="22"/>
        <v>2204828.94</v>
      </c>
      <c r="BF14" s="674">
        <f t="shared" si="22"/>
        <v>1196998.1</v>
      </c>
      <c r="BG14" s="674">
        <f t="shared" si="22"/>
        <v>1760923.42</v>
      </c>
      <c r="BH14" s="674">
        <f t="shared" si="22"/>
        <v>1104891.18</v>
      </c>
      <c r="BI14" s="674">
        <f t="shared" si="22"/>
        <v>1578924.08</v>
      </c>
      <c r="BJ14" s="674">
        <f t="shared" si="22"/>
        <v>1583105.21</v>
      </c>
      <c r="BK14" s="674">
        <f t="shared" si="22"/>
        <v>2056454.44</v>
      </c>
      <c r="BL14" s="674">
        <f t="shared" si="22"/>
        <v>0</v>
      </c>
      <c r="BM14" s="674">
        <f t="shared" si="22"/>
        <v>4930562.51</v>
      </c>
      <c r="BN14" s="674">
        <f t="shared" si="22"/>
        <v>5366174.5600000005</v>
      </c>
      <c r="BO14" s="674">
        <f t="shared" si="22"/>
        <v>2775922.1799999997</v>
      </c>
      <c r="BP14" s="674">
        <f t="shared" si="22"/>
        <v>17380125.97</v>
      </c>
      <c r="BQ14" s="674">
        <f t="shared" si="22"/>
        <v>15641942.549999999</v>
      </c>
      <c r="BR14" s="674">
        <f t="shared" si="22"/>
        <v>12817396.370000001</v>
      </c>
      <c r="BS14" s="674">
        <f t="shared" si="22"/>
        <v>0</v>
      </c>
      <c r="BT14" s="674">
        <f t="shared" si="22"/>
        <v>0</v>
      </c>
      <c r="BU14" s="674">
        <f t="shared" si="22"/>
        <v>0</v>
      </c>
      <c r="BV14" s="674">
        <f t="shared" si="22"/>
        <v>0</v>
      </c>
      <c r="BW14" s="674">
        <f t="shared" si="22"/>
        <v>0</v>
      </c>
      <c r="BX14" s="674">
        <f t="shared" si="22"/>
        <v>0</v>
      </c>
      <c r="BY14" s="674">
        <f t="shared" si="22"/>
        <v>0</v>
      </c>
      <c r="BZ14" s="674">
        <f t="shared" si="22"/>
        <v>0</v>
      </c>
      <c r="CA14" s="674">
        <f t="shared" si="22"/>
        <v>0</v>
      </c>
      <c r="CB14" s="674">
        <f t="shared" si="22"/>
        <v>0</v>
      </c>
      <c r="CC14" s="674">
        <f t="shared" si="22"/>
        <v>0</v>
      </c>
      <c r="CD14" s="674">
        <f t="shared" si="22"/>
        <v>0</v>
      </c>
      <c r="CE14" s="674">
        <f t="shared" si="22"/>
        <v>0</v>
      </c>
      <c r="CF14" s="674">
        <f t="shared" si="22"/>
        <v>0</v>
      </c>
      <c r="CG14" s="674">
        <f aca="true" t="shared" si="23" ref="CG14:CX14">SUM(CG10:CG13)</f>
        <v>0</v>
      </c>
      <c r="CH14" s="674">
        <f t="shared" si="23"/>
        <v>0</v>
      </c>
      <c r="CI14" s="674">
        <f t="shared" si="23"/>
        <v>0</v>
      </c>
      <c r="CJ14" s="674">
        <f t="shared" si="23"/>
        <v>0</v>
      </c>
      <c r="CK14" s="674">
        <f t="shared" si="23"/>
        <v>0</v>
      </c>
      <c r="CL14" s="674">
        <f t="shared" si="23"/>
        <v>0</v>
      </c>
      <c r="CM14" s="674">
        <f t="shared" si="23"/>
        <v>0</v>
      </c>
      <c r="CN14" s="674">
        <f t="shared" si="23"/>
        <v>0</v>
      </c>
      <c r="CO14" s="674">
        <f t="shared" si="23"/>
        <v>0</v>
      </c>
      <c r="CP14" s="674">
        <f t="shared" si="23"/>
        <v>0</v>
      </c>
      <c r="CQ14" s="674">
        <f t="shared" si="23"/>
        <v>359000</v>
      </c>
      <c r="CR14" s="674">
        <f t="shared" si="23"/>
        <v>384000</v>
      </c>
      <c r="CS14" s="674">
        <f t="shared" si="23"/>
        <v>384000</v>
      </c>
      <c r="CT14" s="674">
        <f t="shared" si="23"/>
        <v>1127000</v>
      </c>
      <c r="CU14" s="674">
        <f t="shared" si="23"/>
        <v>2776000</v>
      </c>
      <c r="CV14" s="674">
        <f t="shared" si="23"/>
        <v>976000</v>
      </c>
      <c r="CW14" s="674">
        <f t="shared" si="23"/>
        <v>3029420</v>
      </c>
      <c r="CX14" s="674">
        <f t="shared" si="23"/>
        <v>3241739.099999998</v>
      </c>
      <c r="CY14" s="669">
        <f>CY10+CY12+CY13</f>
        <v>0</v>
      </c>
      <c r="CZ14" s="677">
        <f>CZ12+CZ13+DA10</f>
        <v>163786.97999999998</v>
      </c>
      <c r="DA14" s="678"/>
      <c r="DB14" s="675">
        <f t="shared" si="20"/>
        <v>1448343.8308333333</v>
      </c>
      <c r="DD14" s="353">
        <v>12576930</v>
      </c>
      <c r="DE14" s="652">
        <f>BP10+BQ14-(S10+S12+S13)</f>
        <v>-163786.98000000045</v>
      </c>
    </row>
    <row r="15" spans="1:109" s="1" customFormat="1" ht="18" customHeight="1">
      <c r="A15" s="688" t="s">
        <v>6</v>
      </c>
      <c r="B15" s="5" t="s">
        <v>4</v>
      </c>
      <c r="C15" s="366">
        <v>9718</v>
      </c>
      <c r="D15" s="201"/>
      <c r="E15" s="99">
        <v>14183.49</v>
      </c>
      <c r="F15" s="100">
        <v>16902.86</v>
      </c>
      <c r="G15" s="101">
        <v>17041.67</v>
      </c>
      <c r="H15" s="220">
        <v>16903</v>
      </c>
      <c r="I15" s="420"/>
      <c r="J15" s="323">
        <v>2000</v>
      </c>
      <c r="K15" s="323">
        <v>2000</v>
      </c>
      <c r="L15" s="323">
        <v>0</v>
      </c>
      <c r="M15" s="323">
        <v>2000</v>
      </c>
      <c r="N15" s="283">
        <v>1181.9575</v>
      </c>
      <c r="O15" s="58">
        <v>-0.13999999999941792</v>
      </c>
      <c r="P15" s="50"/>
      <c r="Q15" s="502">
        <v>0</v>
      </c>
      <c r="R15" s="511">
        <f>4500+3000</f>
        <v>7500</v>
      </c>
      <c r="S15" s="632">
        <f>J15+K15+L15+M15+Q15+R15</f>
        <v>13500</v>
      </c>
      <c r="T15" s="261">
        <v>1098.94</v>
      </c>
      <c r="U15" s="45"/>
      <c r="V15" s="47">
        <f>2414.47+1367.73</f>
        <v>3782.2</v>
      </c>
      <c r="W15" s="44">
        <v>1862.96</v>
      </c>
      <c r="X15" s="45">
        <v>229.67</v>
      </c>
      <c r="Y15" s="47"/>
      <c r="Z15" s="44">
        <v>2101.07</v>
      </c>
      <c r="AA15" s="45">
        <v>1566.12</v>
      </c>
      <c r="AB15" s="47">
        <v>2307.83</v>
      </c>
      <c r="AC15" s="90">
        <f aca="true" t="shared" si="24" ref="AC15:AE16">T15+W15+Z15</f>
        <v>5062.97</v>
      </c>
      <c r="AD15" s="91">
        <f t="shared" si="24"/>
        <v>1795.79</v>
      </c>
      <c r="AE15" s="36">
        <f t="shared" si="24"/>
        <v>6090.03</v>
      </c>
      <c r="AF15" s="44">
        <v>795.3</v>
      </c>
      <c r="AG15" s="46">
        <v>100.72</v>
      </c>
      <c r="AH15" s="21">
        <v>0</v>
      </c>
      <c r="AI15" s="44">
        <v>1910.79</v>
      </c>
      <c r="AJ15" s="46">
        <v>2280.18</v>
      </c>
      <c r="AK15" s="47">
        <v>229.67</v>
      </c>
      <c r="AL15" s="44">
        <v>1313.7</v>
      </c>
      <c r="AM15" s="46"/>
      <c r="AN15" s="109">
        <f>36.07+1566.12</f>
        <v>1602.1899999999998</v>
      </c>
      <c r="AO15" s="90">
        <f aca="true" t="shared" si="25" ref="AO15:AQ16">AF15+AI15+AL15</f>
        <v>4019.79</v>
      </c>
      <c r="AP15" s="91">
        <f t="shared" si="25"/>
        <v>2380.8999999999996</v>
      </c>
      <c r="AQ15" s="131">
        <f t="shared" si="25"/>
        <v>1831.86</v>
      </c>
      <c r="AR15" s="44">
        <v>1257.78</v>
      </c>
      <c r="AS15" s="46"/>
      <c r="AT15" s="21">
        <v>64.65</v>
      </c>
      <c r="AU15" s="44">
        <v>753.74</v>
      </c>
      <c r="AV15" s="46">
        <v>73.25</v>
      </c>
      <c r="AW15" s="21">
        <v>2280.18</v>
      </c>
      <c r="AX15" s="44">
        <v>260.2</v>
      </c>
      <c r="AY15" s="47">
        <v>1607.75</v>
      </c>
      <c r="AZ15" s="272"/>
      <c r="BA15" s="44">
        <f aca="true" t="shared" si="26" ref="BA15:BC16">AR15+AU15+AX15</f>
        <v>2271.72</v>
      </c>
      <c r="BB15" s="45">
        <f t="shared" si="26"/>
        <v>1681</v>
      </c>
      <c r="BC15" s="46">
        <f t="shared" si="26"/>
        <v>2344.83</v>
      </c>
      <c r="BD15" s="45">
        <v>169.28</v>
      </c>
      <c r="BE15" s="46"/>
      <c r="BF15" s="109"/>
      <c r="BG15" s="44">
        <v>1.22</v>
      </c>
      <c r="BH15" s="46">
        <v>3402.97</v>
      </c>
      <c r="BI15" s="21">
        <v>73.25</v>
      </c>
      <c r="BJ15" s="261">
        <v>342.98</v>
      </c>
      <c r="BK15" s="46">
        <v>1109.35</v>
      </c>
      <c r="BL15" s="109">
        <v>1607.75</v>
      </c>
      <c r="BM15" s="44">
        <f aca="true" t="shared" si="27" ref="BM15:BO16">BD15+BG15+BJ15</f>
        <v>513.48</v>
      </c>
      <c r="BN15" s="45">
        <f t="shared" si="27"/>
        <v>4512.32</v>
      </c>
      <c r="BO15" s="46">
        <f t="shared" si="27"/>
        <v>1681</v>
      </c>
      <c r="BP15" s="90">
        <f>AC15+AO15+BA15+BM15</f>
        <v>11867.96</v>
      </c>
      <c r="BQ15" s="91">
        <f>AD15+AP15+BB15+BN15</f>
        <v>10370.009999999998</v>
      </c>
      <c r="BR15" s="453">
        <f>AE15+AQ15+BC15+BO15</f>
        <v>11947.72</v>
      </c>
      <c r="BS15" s="271"/>
      <c r="BT15" s="154"/>
      <c r="BU15" s="155"/>
      <c r="BV15" s="153"/>
      <c r="BW15" s="154"/>
      <c r="BX15" s="159"/>
      <c r="BY15" s="139"/>
      <c r="BZ15" s="91"/>
      <c r="CA15" s="131"/>
      <c r="CB15" s="90">
        <f aca="true" t="shared" si="28" ref="CB15:CD16">BS15+BV15+BY15</f>
        <v>0</v>
      </c>
      <c r="CC15" s="91">
        <f t="shared" si="28"/>
        <v>0</v>
      </c>
      <c r="CD15" s="36">
        <f t="shared" si="28"/>
        <v>0</v>
      </c>
      <c r="CE15" s="90"/>
      <c r="CF15" s="91"/>
      <c r="CG15" s="131"/>
      <c r="CH15" s="90"/>
      <c r="CI15" s="91"/>
      <c r="CJ15" s="36"/>
      <c r="CK15" s="90"/>
      <c r="CL15" s="91"/>
      <c r="CM15" s="36"/>
      <c r="CN15" s="99">
        <f aca="true" t="shared" si="29" ref="CN15:CP16">CE15+CH15+CK15</f>
        <v>0</v>
      </c>
      <c r="CO15" s="100">
        <f t="shared" si="29"/>
        <v>0</v>
      </c>
      <c r="CP15" s="101">
        <f t="shared" si="29"/>
        <v>0</v>
      </c>
      <c r="CQ15" s="392">
        <v>1500</v>
      </c>
      <c r="CR15" s="392">
        <v>1500</v>
      </c>
      <c r="CS15" s="390">
        <v>2000</v>
      </c>
      <c r="CT15" s="391">
        <f>CQ15+CR15+CS15</f>
        <v>5000</v>
      </c>
      <c r="CU15" s="390">
        <v>2000</v>
      </c>
      <c r="CV15" s="390">
        <v>0</v>
      </c>
      <c r="CW15" s="390">
        <v>8000</v>
      </c>
      <c r="CX15" s="464">
        <f>C15+BQ15-BP15</f>
        <v>8220.05</v>
      </c>
      <c r="CY15" s="251"/>
      <c r="CZ15" s="288">
        <f>S15-BQ15</f>
        <v>3129.9900000000016</v>
      </c>
      <c r="DA15" s="405"/>
      <c r="DB15" s="477">
        <f t="shared" si="20"/>
        <v>988.9966666666666</v>
      </c>
      <c r="DD15" s="484">
        <f>J15+K15+L15+M15+Q15+R15</f>
        <v>13500</v>
      </c>
      <c r="DE15" s="490"/>
    </row>
    <row r="16" spans="1:109" s="1" customFormat="1" ht="18" customHeight="1" thickBot="1">
      <c r="A16" s="698"/>
      <c r="B16" s="13" t="s">
        <v>5</v>
      </c>
      <c r="C16" s="367"/>
      <c r="D16" s="202"/>
      <c r="E16" s="102">
        <v>33760687.62</v>
      </c>
      <c r="F16" s="103">
        <v>0</v>
      </c>
      <c r="G16" s="104">
        <v>0</v>
      </c>
      <c r="H16" s="418">
        <v>33362477</v>
      </c>
      <c r="I16" s="419"/>
      <c r="J16" s="440">
        <v>2780000</v>
      </c>
      <c r="K16" s="440">
        <v>2780000</v>
      </c>
      <c r="L16" s="440">
        <v>2782000</v>
      </c>
      <c r="M16" s="440">
        <v>6389000</v>
      </c>
      <c r="N16" s="283">
        <v>2813390.635</v>
      </c>
      <c r="O16" s="267">
        <v>398210.6199999973</v>
      </c>
      <c r="P16" s="268"/>
      <c r="Q16" s="501">
        <f>3195000+750000</f>
        <v>3945000</v>
      </c>
      <c r="R16" s="514">
        <f>6035430+8912270</f>
        <v>14947700</v>
      </c>
      <c r="S16" s="632">
        <f>J16+K16+L16+M16+Q16+R16+4366580</f>
        <v>37990280</v>
      </c>
      <c r="T16" s="261">
        <v>3162619.41</v>
      </c>
      <c r="U16" s="45"/>
      <c r="V16" s="47"/>
      <c r="W16" s="44">
        <v>3225087.5</v>
      </c>
      <c r="X16" s="45"/>
      <c r="Y16" s="47"/>
      <c r="Z16" s="44">
        <v>3307122.86</v>
      </c>
      <c r="AA16" s="45"/>
      <c r="AB16" s="47"/>
      <c r="AC16" s="90">
        <f t="shared" si="24"/>
        <v>9694829.77</v>
      </c>
      <c r="AD16" s="91">
        <f t="shared" si="24"/>
        <v>0</v>
      </c>
      <c r="AE16" s="36">
        <f t="shared" si="24"/>
        <v>0</v>
      </c>
      <c r="AF16" s="44">
        <v>2913928.66</v>
      </c>
      <c r="AG16" s="46">
        <v>0</v>
      </c>
      <c r="AH16" s="21">
        <v>0</v>
      </c>
      <c r="AI16" s="44">
        <v>3063166.52</v>
      </c>
      <c r="AJ16" s="46"/>
      <c r="AK16" s="47"/>
      <c r="AL16" s="44">
        <v>2990855.91</v>
      </c>
      <c r="AM16" s="46"/>
      <c r="AN16" s="109"/>
      <c r="AO16" s="90">
        <f t="shared" si="25"/>
        <v>8967951.09</v>
      </c>
      <c r="AP16" s="91">
        <f t="shared" si="25"/>
        <v>0</v>
      </c>
      <c r="AQ16" s="131">
        <f t="shared" si="25"/>
        <v>0</v>
      </c>
      <c r="AR16" s="44">
        <v>3026813.46</v>
      </c>
      <c r="AS16" s="46"/>
      <c r="AT16" s="21"/>
      <c r="AU16" s="44">
        <v>3063961</v>
      </c>
      <c r="AV16" s="46"/>
      <c r="AW16" s="21"/>
      <c r="AX16" s="44">
        <v>3336720.43</v>
      </c>
      <c r="AY16" s="47"/>
      <c r="AZ16" s="272"/>
      <c r="BA16" s="44">
        <f t="shared" si="26"/>
        <v>9427494.89</v>
      </c>
      <c r="BB16" s="45">
        <f t="shared" si="26"/>
        <v>0</v>
      </c>
      <c r="BC16" s="46">
        <f t="shared" si="26"/>
        <v>0</v>
      </c>
      <c r="BD16" s="45">
        <v>3077689.4</v>
      </c>
      <c r="BE16" s="46"/>
      <c r="BF16" s="109"/>
      <c r="BG16" s="44">
        <v>3181443.06</v>
      </c>
      <c r="BH16" s="46"/>
      <c r="BI16" s="21"/>
      <c r="BJ16" s="261">
        <v>3433551.39</v>
      </c>
      <c r="BK16" s="46"/>
      <c r="BL16" s="109"/>
      <c r="BM16" s="44">
        <f t="shared" si="27"/>
        <v>9692683.85</v>
      </c>
      <c r="BN16" s="45">
        <f t="shared" si="27"/>
        <v>0</v>
      </c>
      <c r="BO16" s="46">
        <f t="shared" si="27"/>
        <v>0</v>
      </c>
      <c r="BP16" s="90">
        <f>AC16+AO16+BA16+BM16+O17</f>
        <v>38245659.6</v>
      </c>
      <c r="BQ16" s="91">
        <f>AD16+AP16+BB16+BN16</f>
        <v>0</v>
      </c>
      <c r="BR16" s="453">
        <f>AE16+AQ16+BC16+BO16</f>
        <v>0</v>
      </c>
      <c r="BS16" s="271"/>
      <c r="BT16" s="154"/>
      <c r="BU16" s="155"/>
      <c r="BV16" s="153"/>
      <c r="BW16" s="154"/>
      <c r="BX16" s="159"/>
      <c r="BY16" s="139"/>
      <c r="BZ16" s="91"/>
      <c r="CA16" s="131"/>
      <c r="CB16" s="90">
        <f t="shared" si="28"/>
        <v>0</v>
      </c>
      <c r="CC16" s="91">
        <f t="shared" si="28"/>
        <v>0</v>
      </c>
      <c r="CD16" s="36">
        <f t="shared" si="28"/>
        <v>0</v>
      </c>
      <c r="CE16" s="90"/>
      <c r="CF16" s="91"/>
      <c r="CG16" s="131"/>
      <c r="CH16" s="90"/>
      <c r="CI16" s="91"/>
      <c r="CJ16" s="36"/>
      <c r="CK16" s="90"/>
      <c r="CL16" s="91"/>
      <c r="CM16" s="36"/>
      <c r="CN16" s="99">
        <f t="shared" si="29"/>
        <v>0</v>
      </c>
      <c r="CO16" s="100">
        <f t="shared" si="29"/>
        <v>0</v>
      </c>
      <c r="CP16" s="101">
        <f t="shared" si="29"/>
        <v>0</v>
      </c>
      <c r="CQ16" s="393">
        <v>2349500</v>
      </c>
      <c r="CR16" s="393">
        <v>2663500</v>
      </c>
      <c r="CS16" s="394">
        <v>2598000</v>
      </c>
      <c r="CT16" s="395">
        <f>CQ16+CR16+CS16</f>
        <v>7611000</v>
      </c>
      <c r="CU16" s="394">
        <v>2698000</v>
      </c>
      <c r="CV16" s="394">
        <v>2800000</v>
      </c>
      <c r="CW16" s="394">
        <v>11039740</v>
      </c>
      <c r="CX16" s="464"/>
      <c r="CY16" s="251"/>
      <c r="CZ16" s="289"/>
      <c r="DA16" s="406">
        <f>S16-BP16</f>
        <v>-255379.6000000015</v>
      </c>
      <c r="DB16" s="476">
        <f t="shared" si="20"/>
        <v>3187138.3000000003</v>
      </c>
      <c r="DD16" s="484">
        <f>J16+K16+L16+M16+Q16+R16</f>
        <v>33623700</v>
      </c>
      <c r="DE16" s="489"/>
    </row>
    <row r="17" spans="1:109" s="1" customFormat="1" ht="22.5" customHeight="1" thickBot="1">
      <c r="A17" s="3" t="s">
        <v>8</v>
      </c>
      <c r="B17" s="4" t="s">
        <v>9</v>
      </c>
      <c r="C17" s="73">
        <v>9718.02</v>
      </c>
      <c r="D17" s="200">
        <v>64490</v>
      </c>
      <c r="E17" s="56">
        <v>33774871.11</v>
      </c>
      <c r="F17" s="56">
        <v>16902.86</v>
      </c>
      <c r="G17" s="56">
        <v>17041.67</v>
      </c>
      <c r="H17" s="205">
        <v>33379380</v>
      </c>
      <c r="I17" s="421">
        <v>0</v>
      </c>
      <c r="J17" s="205">
        <f>J15+J16</f>
        <v>2782000</v>
      </c>
      <c r="K17" s="205">
        <f>K15+K16</f>
        <v>2782000</v>
      </c>
      <c r="L17" s="205">
        <f>L15+L16</f>
        <v>2782000</v>
      </c>
      <c r="M17" s="205">
        <f>M15+M16</f>
        <v>6391000</v>
      </c>
      <c r="N17" s="283">
        <v>2814572.5925</v>
      </c>
      <c r="O17" s="433">
        <v>462700</v>
      </c>
      <c r="P17" s="95"/>
      <c r="Q17" s="353">
        <f>Q15+Q16</f>
        <v>3945000</v>
      </c>
      <c r="R17" s="353">
        <f>R15+R16</f>
        <v>14955200</v>
      </c>
      <c r="S17" s="353">
        <f>S15+S16+462700</f>
        <v>38466480</v>
      </c>
      <c r="T17" s="92">
        <f aca="true" t="shared" si="30" ref="T17:AY17">T15+T16</f>
        <v>3163718.35</v>
      </c>
      <c r="U17" s="92">
        <f t="shared" si="30"/>
        <v>0</v>
      </c>
      <c r="V17" s="92">
        <f t="shared" si="30"/>
        <v>3782.2</v>
      </c>
      <c r="W17" s="92">
        <f t="shared" si="30"/>
        <v>3226950.46</v>
      </c>
      <c r="X17" s="92">
        <f t="shared" si="30"/>
        <v>229.67</v>
      </c>
      <c r="Y17" s="92">
        <f t="shared" si="30"/>
        <v>0</v>
      </c>
      <c r="Z17" s="92">
        <f t="shared" si="30"/>
        <v>3309223.9299999997</v>
      </c>
      <c r="AA17" s="92">
        <f t="shared" si="30"/>
        <v>1566.12</v>
      </c>
      <c r="AB17" s="92">
        <f t="shared" si="30"/>
        <v>2307.83</v>
      </c>
      <c r="AC17" s="92">
        <f t="shared" si="30"/>
        <v>9699892.74</v>
      </c>
      <c r="AD17" s="92">
        <f t="shared" si="30"/>
        <v>1795.79</v>
      </c>
      <c r="AE17" s="92">
        <f t="shared" si="30"/>
        <v>6090.03</v>
      </c>
      <c r="AF17" s="92">
        <f t="shared" si="30"/>
        <v>2914723.96</v>
      </c>
      <c r="AG17" s="92">
        <f t="shared" si="30"/>
        <v>100.72</v>
      </c>
      <c r="AH17" s="92">
        <f t="shared" si="30"/>
        <v>0</v>
      </c>
      <c r="AI17" s="92">
        <f t="shared" si="30"/>
        <v>3065077.31</v>
      </c>
      <c r="AJ17" s="92">
        <f t="shared" si="30"/>
        <v>2280.18</v>
      </c>
      <c r="AK17" s="92">
        <f t="shared" si="30"/>
        <v>229.67</v>
      </c>
      <c r="AL17" s="92">
        <f t="shared" si="30"/>
        <v>2992169.6100000003</v>
      </c>
      <c r="AM17" s="92">
        <f t="shared" si="30"/>
        <v>0</v>
      </c>
      <c r="AN17" s="95">
        <f t="shared" si="30"/>
        <v>1602.1899999999998</v>
      </c>
      <c r="AO17" s="95">
        <f t="shared" si="30"/>
        <v>8971970.879999999</v>
      </c>
      <c r="AP17" s="95">
        <f t="shared" si="30"/>
        <v>2380.8999999999996</v>
      </c>
      <c r="AQ17" s="95">
        <f t="shared" si="30"/>
        <v>1831.86</v>
      </c>
      <c r="AR17" s="92">
        <f t="shared" si="30"/>
        <v>3028071.2399999998</v>
      </c>
      <c r="AS17" s="92">
        <f t="shared" si="30"/>
        <v>0</v>
      </c>
      <c r="AT17" s="92">
        <f t="shared" si="30"/>
        <v>64.65</v>
      </c>
      <c r="AU17" s="92">
        <f t="shared" si="30"/>
        <v>3064714.74</v>
      </c>
      <c r="AV17" s="92">
        <f t="shared" si="30"/>
        <v>73.25</v>
      </c>
      <c r="AW17" s="92">
        <f t="shared" si="30"/>
        <v>2280.18</v>
      </c>
      <c r="AX17" s="92">
        <f t="shared" si="30"/>
        <v>3336980.6300000004</v>
      </c>
      <c r="AY17" s="92">
        <f t="shared" si="30"/>
        <v>1607.75</v>
      </c>
      <c r="AZ17" s="493">
        <f aca="true" t="shared" si="31" ref="AZ17:CE17">AZ15+AZ16</f>
        <v>0</v>
      </c>
      <c r="BA17" s="92">
        <f t="shared" si="31"/>
        <v>9429766.610000001</v>
      </c>
      <c r="BB17" s="92">
        <f t="shared" si="31"/>
        <v>1681</v>
      </c>
      <c r="BC17" s="92">
        <f t="shared" si="31"/>
        <v>2344.83</v>
      </c>
      <c r="BD17" s="92">
        <f t="shared" si="31"/>
        <v>3077858.6799999997</v>
      </c>
      <c r="BE17" s="92">
        <f t="shared" si="31"/>
        <v>0</v>
      </c>
      <c r="BF17" s="92">
        <f t="shared" si="31"/>
        <v>0</v>
      </c>
      <c r="BG17" s="92">
        <f t="shared" si="31"/>
        <v>3181444.2800000003</v>
      </c>
      <c r="BH17" s="92">
        <f t="shared" si="31"/>
        <v>3402.97</v>
      </c>
      <c r="BI17" s="92">
        <f t="shared" si="31"/>
        <v>73.25</v>
      </c>
      <c r="BJ17" s="92">
        <f t="shared" si="31"/>
        <v>3433894.37</v>
      </c>
      <c r="BK17" s="92">
        <f t="shared" si="31"/>
        <v>1109.35</v>
      </c>
      <c r="BL17" s="92">
        <f t="shared" si="31"/>
        <v>1607.75</v>
      </c>
      <c r="BM17" s="92">
        <f t="shared" si="31"/>
        <v>9693197.33</v>
      </c>
      <c r="BN17" s="92">
        <f t="shared" si="31"/>
        <v>4512.32</v>
      </c>
      <c r="BO17" s="92">
        <f t="shared" si="31"/>
        <v>1681</v>
      </c>
      <c r="BP17" s="92">
        <f t="shared" si="31"/>
        <v>38257527.56</v>
      </c>
      <c r="BQ17" s="92">
        <f t="shared" si="31"/>
        <v>10370.009999999998</v>
      </c>
      <c r="BR17" s="454">
        <f t="shared" si="31"/>
        <v>11947.72</v>
      </c>
      <c r="BS17" s="92">
        <f t="shared" si="31"/>
        <v>0</v>
      </c>
      <c r="BT17" s="92">
        <f t="shared" si="31"/>
        <v>0</v>
      </c>
      <c r="BU17" s="92">
        <f t="shared" si="31"/>
        <v>0</v>
      </c>
      <c r="BV17" s="92">
        <f t="shared" si="31"/>
        <v>0</v>
      </c>
      <c r="BW17" s="92">
        <f t="shared" si="31"/>
        <v>0</v>
      </c>
      <c r="BX17" s="92">
        <f t="shared" si="31"/>
        <v>0</v>
      </c>
      <c r="BY17" s="92">
        <f t="shared" si="31"/>
        <v>0</v>
      </c>
      <c r="BZ17" s="92">
        <f t="shared" si="31"/>
        <v>0</v>
      </c>
      <c r="CA17" s="92">
        <f t="shared" si="31"/>
        <v>0</v>
      </c>
      <c r="CB17" s="92">
        <f t="shared" si="31"/>
        <v>0</v>
      </c>
      <c r="CC17" s="92">
        <f t="shared" si="31"/>
        <v>0</v>
      </c>
      <c r="CD17" s="92">
        <f t="shared" si="31"/>
        <v>0</v>
      </c>
      <c r="CE17" s="92">
        <f t="shared" si="31"/>
        <v>0</v>
      </c>
      <c r="CF17" s="92">
        <f aca="true" t="shared" si="32" ref="CF17:CY17">CF15+CF16</f>
        <v>0</v>
      </c>
      <c r="CG17" s="92">
        <f t="shared" si="32"/>
        <v>0</v>
      </c>
      <c r="CH17" s="92">
        <f t="shared" si="32"/>
        <v>0</v>
      </c>
      <c r="CI17" s="92">
        <f t="shared" si="32"/>
        <v>0</v>
      </c>
      <c r="CJ17" s="92">
        <f t="shared" si="32"/>
        <v>0</v>
      </c>
      <c r="CK17" s="92">
        <f t="shared" si="32"/>
        <v>0</v>
      </c>
      <c r="CL17" s="92">
        <f t="shared" si="32"/>
        <v>0</v>
      </c>
      <c r="CM17" s="92">
        <f t="shared" si="32"/>
        <v>0</v>
      </c>
      <c r="CN17" s="92">
        <f t="shared" si="32"/>
        <v>0</v>
      </c>
      <c r="CO17" s="92">
        <f t="shared" si="32"/>
        <v>0</v>
      </c>
      <c r="CP17" s="92">
        <f t="shared" si="32"/>
        <v>0</v>
      </c>
      <c r="CQ17" s="92">
        <f t="shared" si="32"/>
        <v>2351000</v>
      </c>
      <c r="CR17" s="92">
        <f t="shared" si="32"/>
        <v>2665000</v>
      </c>
      <c r="CS17" s="92">
        <f t="shared" si="32"/>
        <v>2600000</v>
      </c>
      <c r="CT17" s="92">
        <f t="shared" si="32"/>
        <v>7616000</v>
      </c>
      <c r="CU17" s="92">
        <f t="shared" si="32"/>
        <v>2700000</v>
      </c>
      <c r="CV17" s="92">
        <f t="shared" si="32"/>
        <v>2800000</v>
      </c>
      <c r="CW17" s="92">
        <f t="shared" si="32"/>
        <v>11047740</v>
      </c>
      <c r="CX17" s="454">
        <f t="shared" si="32"/>
        <v>8220.05</v>
      </c>
      <c r="CY17" s="353">
        <f t="shared" si="32"/>
        <v>0</v>
      </c>
      <c r="CZ17" s="684">
        <f>CZ15+DA16</f>
        <v>-252249.6100000015</v>
      </c>
      <c r="DA17" s="676"/>
      <c r="DB17" s="478">
        <f t="shared" si="20"/>
        <v>3188127.296666667</v>
      </c>
      <c r="DD17" s="519">
        <v>28284630</v>
      </c>
      <c r="DE17" s="656">
        <f>BP16+BQ17-S17</f>
        <v>-210450.3900000006</v>
      </c>
    </row>
    <row r="18" spans="1:109" s="1" customFormat="1" ht="16.5" customHeight="1" hidden="1" thickBot="1">
      <c r="A18" s="689" t="s">
        <v>6</v>
      </c>
      <c r="B18" s="5" t="s">
        <v>21</v>
      </c>
      <c r="C18" s="366"/>
      <c r="D18" s="203"/>
      <c r="E18" s="99">
        <v>0</v>
      </c>
      <c r="F18" s="100">
        <v>0</v>
      </c>
      <c r="G18" s="101">
        <v>0</v>
      </c>
      <c r="H18" s="220">
        <v>0</v>
      </c>
      <c r="I18" s="420"/>
      <c r="J18" s="323"/>
      <c r="K18" s="323"/>
      <c r="L18" s="323"/>
      <c r="M18" s="323"/>
      <c r="N18" s="283">
        <v>0</v>
      </c>
      <c r="O18" s="58"/>
      <c r="P18" s="339"/>
      <c r="Q18" s="502"/>
      <c r="R18" s="511"/>
      <c r="S18" s="352">
        <f>J18+K18</f>
        <v>0</v>
      </c>
      <c r="T18" s="261"/>
      <c r="U18" s="45"/>
      <c r="V18" s="47"/>
      <c r="W18" s="44"/>
      <c r="X18" s="45"/>
      <c r="Y18" s="47"/>
      <c r="Z18" s="44"/>
      <c r="AA18" s="45"/>
      <c r="AB18" s="47"/>
      <c r="AC18" s="90">
        <f aca="true" t="shared" si="33" ref="AC18:AE20">T18+W18+Z18</f>
        <v>0</v>
      </c>
      <c r="AD18" s="91">
        <f t="shared" si="33"/>
        <v>0</v>
      </c>
      <c r="AE18" s="36">
        <f t="shared" si="33"/>
        <v>0</v>
      </c>
      <c r="AF18" s="44">
        <v>0</v>
      </c>
      <c r="AG18" s="46">
        <v>0</v>
      </c>
      <c r="AH18" s="21">
        <v>0</v>
      </c>
      <c r="AI18" s="44"/>
      <c r="AJ18" s="46"/>
      <c r="AK18" s="47"/>
      <c r="AL18" s="44"/>
      <c r="AM18" s="46"/>
      <c r="AN18" s="109"/>
      <c r="AO18" s="90">
        <f aca="true" t="shared" si="34" ref="AO18:AQ20">AF18+AI18+AL18</f>
        <v>0</v>
      </c>
      <c r="AP18" s="91">
        <f t="shared" si="34"/>
        <v>0</v>
      </c>
      <c r="AQ18" s="131">
        <f t="shared" si="34"/>
        <v>0</v>
      </c>
      <c r="AR18" s="44"/>
      <c r="AS18" s="46"/>
      <c r="AT18" s="21"/>
      <c r="AU18" s="44"/>
      <c r="AV18" s="46"/>
      <c r="AW18" s="21"/>
      <c r="AX18" s="44"/>
      <c r="AY18" s="47"/>
      <c r="AZ18" s="272"/>
      <c r="BA18" s="44">
        <f aca="true" t="shared" si="35" ref="BA18:BC20">AR18+AU18+AX18</f>
        <v>0</v>
      </c>
      <c r="BB18" s="45">
        <f t="shared" si="35"/>
        <v>0</v>
      </c>
      <c r="BC18" s="46">
        <f t="shared" si="35"/>
        <v>0</v>
      </c>
      <c r="BD18" s="45"/>
      <c r="BE18" s="46"/>
      <c r="BF18" s="109"/>
      <c r="BG18" s="44"/>
      <c r="BH18" s="46"/>
      <c r="BI18" s="21"/>
      <c r="BJ18" s="261"/>
      <c r="BK18" s="46"/>
      <c r="BL18" s="109"/>
      <c r="BM18" s="44">
        <f aca="true" t="shared" si="36" ref="BM18:BO20">BD18+BG18+BJ18</f>
        <v>0</v>
      </c>
      <c r="BN18" s="45">
        <f t="shared" si="36"/>
        <v>0</v>
      </c>
      <c r="BO18" s="46">
        <f t="shared" si="36"/>
        <v>0</v>
      </c>
      <c r="BP18" s="90">
        <f>AC18+AO18+BA18+BM18</f>
        <v>0</v>
      </c>
      <c r="BQ18" s="91">
        <f>AD18+AP18+BB18+BN18</f>
        <v>0</v>
      </c>
      <c r="BR18" s="453">
        <f>AE18+AQ18+BC18+BO18</f>
        <v>0</v>
      </c>
      <c r="BS18" s="271"/>
      <c r="BT18" s="154"/>
      <c r="BU18" s="155"/>
      <c r="BV18" s="153"/>
      <c r="BW18" s="154"/>
      <c r="BX18" s="159"/>
      <c r="BY18" s="139"/>
      <c r="BZ18" s="91"/>
      <c r="CA18" s="131"/>
      <c r="CB18" s="90">
        <f aca="true" t="shared" si="37" ref="CB18:CD20">BS18+BV18+BY18</f>
        <v>0</v>
      </c>
      <c r="CC18" s="91">
        <f t="shared" si="37"/>
        <v>0</v>
      </c>
      <c r="CD18" s="36">
        <f t="shared" si="37"/>
        <v>0</v>
      </c>
      <c r="CE18" s="90"/>
      <c r="CF18" s="91"/>
      <c r="CG18" s="131"/>
      <c r="CH18" s="90"/>
      <c r="CI18" s="91"/>
      <c r="CJ18" s="36"/>
      <c r="CK18" s="90"/>
      <c r="CL18" s="91"/>
      <c r="CM18" s="36"/>
      <c r="CN18" s="99">
        <f aca="true" t="shared" si="38" ref="CN18:CP20">CE18+CH18+CK18</f>
        <v>0</v>
      </c>
      <c r="CO18" s="100">
        <f t="shared" si="38"/>
        <v>0</v>
      </c>
      <c r="CP18" s="101">
        <f t="shared" si="38"/>
        <v>0</v>
      </c>
      <c r="CQ18" s="390"/>
      <c r="CR18" s="390"/>
      <c r="CS18" s="390"/>
      <c r="CT18" s="391">
        <f>CQ18+CR18+CS18</f>
        <v>0</v>
      </c>
      <c r="CU18" s="390"/>
      <c r="CV18" s="390"/>
      <c r="CW18" s="390"/>
      <c r="CX18" s="464"/>
      <c r="CY18" s="251"/>
      <c r="CZ18" s="293"/>
      <c r="DA18" s="410"/>
      <c r="DB18" s="477">
        <f>BP18/2</f>
        <v>0</v>
      </c>
      <c r="DD18" s="484">
        <f>J18+K18+L18</f>
        <v>0</v>
      </c>
      <c r="DE18" s="657"/>
    </row>
    <row r="19" spans="1:109" s="1" customFormat="1" ht="19.5" customHeight="1" thickBot="1">
      <c r="A19" s="689"/>
      <c r="B19" s="5" t="s">
        <v>27</v>
      </c>
      <c r="C19" s="370"/>
      <c r="D19" s="65"/>
      <c r="E19" s="90">
        <v>58248</v>
      </c>
      <c r="F19" s="91">
        <v>0</v>
      </c>
      <c r="G19" s="36">
        <v>0</v>
      </c>
      <c r="H19" s="220">
        <v>57320</v>
      </c>
      <c r="I19" s="251"/>
      <c r="J19" s="320">
        <v>5000</v>
      </c>
      <c r="K19" s="320">
        <v>5000</v>
      </c>
      <c r="L19" s="320">
        <v>5000</v>
      </c>
      <c r="M19" s="320">
        <v>3000</v>
      </c>
      <c r="N19" s="283">
        <v>4854</v>
      </c>
      <c r="O19" s="435">
        <v>930</v>
      </c>
      <c r="P19" s="255"/>
      <c r="Q19" s="354">
        <f>2000+6000</f>
        <v>8000</v>
      </c>
      <c r="R19" s="626">
        <f>14390+10730</f>
        <v>25120</v>
      </c>
      <c r="S19" s="633">
        <f>J19+K19+L19+930+M19+Q19+R19+5350</f>
        <v>57400</v>
      </c>
      <c r="T19" s="261">
        <v>4320</v>
      </c>
      <c r="U19" s="45"/>
      <c r="V19" s="47"/>
      <c r="W19" s="44">
        <v>2640</v>
      </c>
      <c r="X19" s="45"/>
      <c r="Y19" s="47"/>
      <c r="Z19" s="44">
        <v>7200</v>
      </c>
      <c r="AA19" s="45"/>
      <c r="AB19" s="47"/>
      <c r="AC19" s="90">
        <f t="shared" si="33"/>
        <v>14160</v>
      </c>
      <c r="AD19" s="91">
        <f t="shared" si="33"/>
        <v>0</v>
      </c>
      <c r="AE19" s="36">
        <f t="shared" si="33"/>
        <v>0</v>
      </c>
      <c r="AF19" s="44">
        <v>4200</v>
      </c>
      <c r="AG19" s="46">
        <v>0</v>
      </c>
      <c r="AH19" s="21">
        <v>0</v>
      </c>
      <c r="AI19" s="44">
        <v>3240</v>
      </c>
      <c r="AJ19" s="46"/>
      <c r="AK19" s="47"/>
      <c r="AL19" s="44">
        <v>5880</v>
      </c>
      <c r="AM19" s="46"/>
      <c r="AN19" s="109"/>
      <c r="AO19" s="90">
        <f t="shared" si="34"/>
        <v>13320</v>
      </c>
      <c r="AP19" s="91">
        <f t="shared" si="34"/>
        <v>0</v>
      </c>
      <c r="AQ19" s="131">
        <f t="shared" si="34"/>
        <v>0</v>
      </c>
      <c r="AR19" s="44">
        <v>5640</v>
      </c>
      <c r="AS19" s="46"/>
      <c r="AT19" s="21"/>
      <c r="AU19" s="44">
        <v>3960</v>
      </c>
      <c r="AV19" s="46"/>
      <c r="AW19" s="21"/>
      <c r="AX19" s="44">
        <v>5040</v>
      </c>
      <c r="AY19" s="47"/>
      <c r="AZ19" s="272"/>
      <c r="BA19" s="44">
        <f t="shared" si="35"/>
        <v>14640</v>
      </c>
      <c r="BB19" s="45">
        <f t="shared" si="35"/>
        <v>0</v>
      </c>
      <c r="BC19" s="46">
        <f t="shared" si="35"/>
        <v>0</v>
      </c>
      <c r="BD19" s="45">
        <v>3720</v>
      </c>
      <c r="BE19" s="46"/>
      <c r="BF19" s="109"/>
      <c r="BG19" s="44">
        <v>4920</v>
      </c>
      <c r="BH19" s="46"/>
      <c r="BI19" s="21"/>
      <c r="BJ19" s="261">
        <v>5400</v>
      </c>
      <c r="BK19" s="46"/>
      <c r="BL19" s="109"/>
      <c r="BM19" s="44">
        <f t="shared" si="36"/>
        <v>14040</v>
      </c>
      <c r="BN19" s="45">
        <f t="shared" si="36"/>
        <v>0</v>
      </c>
      <c r="BO19" s="46">
        <f t="shared" si="36"/>
        <v>0</v>
      </c>
      <c r="BP19" s="90">
        <f>AC19+AO19+BA19+BM19+O19</f>
        <v>57090</v>
      </c>
      <c r="BQ19" s="91">
        <f>AD19+AP19+BB19+BN19</f>
        <v>0</v>
      </c>
      <c r="BR19" s="453">
        <f>AE19+AQ19+BC19+BO19</f>
        <v>0</v>
      </c>
      <c r="BS19" s="272"/>
      <c r="BT19" s="154"/>
      <c r="BU19" s="155"/>
      <c r="BV19" s="153"/>
      <c r="BW19" s="154"/>
      <c r="BX19" s="159"/>
      <c r="BY19" s="139"/>
      <c r="BZ19" s="91"/>
      <c r="CA19" s="131"/>
      <c r="CB19" s="90">
        <f t="shared" si="37"/>
        <v>0</v>
      </c>
      <c r="CC19" s="91">
        <f t="shared" si="37"/>
        <v>0</v>
      </c>
      <c r="CD19" s="36">
        <f t="shared" si="37"/>
        <v>0</v>
      </c>
      <c r="CE19" s="90"/>
      <c r="CF19" s="91"/>
      <c r="CG19" s="131"/>
      <c r="CH19" s="90"/>
      <c r="CI19" s="91"/>
      <c r="CJ19" s="36"/>
      <c r="CK19" s="90"/>
      <c r="CL19" s="91"/>
      <c r="CM19" s="36"/>
      <c r="CN19" s="99">
        <f t="shared" si="38"/>
        <v>0</v>
      </c>
      <c r="CO19" s="100">
        <f t="shared" si="38"/>
        <v>0</v>
      </c>
      <c r="CP19" s="101">
        <f t="shared" si="38"/>
        <v>0</v>
      </c>
      <c r="CQ19" s="392">
        <v>6000</v>
      </c>
      <c r="CR19" s="392">
        <v>5000</v>
      </c>
      <c r="CS19" s="390">
        <v>5000</v>
      </c>
      <c r="CT19" s="391">
        <f>CQ19+CR19+CS19</f>
        <v>16000</v>
      </c>
      <c r="CU19" s="390">
        <v>5000</v>
      </c>
      <c r="CV19" s="390">
        <v>7000</v>
      </c>
      <c r="CW19" s="390">
        <v>23360</v>
      </c>
      <c r="CX19" s="464"/>
      <c r="CY19" s="251"/>
      <c r="CZ19" s="382"/>
      <c r="DA19" s="384">
        <f>S19-BP19</f>
        <v>310</v>
      </c>
      <c r="DB19" s="283">
        <f>BP19/12</f>
        <v>4757.5</v>
      </c>
      <c r="DD19" s="482">
        <v>42830</v>
      </c>
      <c r="DE19" s="658">
        <f>BP19-S19</f>
        <v>-310</v>
      </c>
    </row>
    <row r="20" spans="1:109" s="1" customFormat="1" ht="20.25" customHeight="1" thickBot="1">
      <c r="A20" s="689"/>
      <c r="B20" s="13" t="s">
        <v>28</v>
      </c>
      <c r="C20" s="367"/>
      <c r="D20" s="179"/>
      <c r="E20" s="102">
        <v>1757603.6</v>
      </c>
      <c r="F20" s="103">
        <v>0</v>
      </c>
      <c r="G20" s="104">
        <v>0</v>
      </c>
      <c r="H20" s="418">
        <v>1761280</v>
      </c>
      <c r="I20" s="419"/>
      <c r="J20" s="417">
        <v>147000</v>
      </c>
      <c r="K20" s="417">
        <v>147000</v>
      </c>
      <c r="L20" s="417">
        <v>147000</v>
      </c>
      <c r="M20" s="417">
        <v>303000</v>
      </c>
      <c r="N20" s="283">
        <v>146466.96666666667</v>
      </c>
      <c r="O20" s="267">
        <v>-3676.399999999907</v>
      </c>
      <c r="P20" s="303"/>
      <c r="Q20" s="503">
        <v>151000</v>
      </c>
      <c r="R20" s="513">
        <f>529200+174950</f>
        <v>704150</v>
      </c>
      <c r="S20" s="633">
        <f>J20+K20+L20+M20+Q20+R20+121510</f>
        <v>1720660</v>
      </c>
      <c r="T20" s="261">
        <v>150292</v>
      </c>
      <c r="U20" s="45"/>
      <c r="V20" s="47"/>
      <c r="W20" s="44">
        <v>152700</v>
      </c>
      <c r="X20" s="45"/>
      <c r="Y20" s="47"/>
      <c r="Z20" s="44">
        <v>147540</v>
      </c>
      <c r="AA20" s="45"/>
      <c r="AB20" s="47"/>
      <c r="AC20" s="90">
        <f t="shared" si="33"/>
        <v>450532</v>
      </c>
      <c r="AD20" s="91">
        <f t="shared" si="33"/>
        <v>0</v>
      </c>
      <c r="AE20" s="36">
        <f t="shared" si="33"/>
        <v>0</v>
      </c>
      <c r="AF20" s="44">
        <v>139260</v>
      </c>
      <c r="AG20" s="46">
        <v>0</v>
      </c>
      <c r="AH20" s="21">
        <v>0</v>
      </c>
      <c r="AI20" s="44">
        <v>151480</v>
      </c>
      <c r="AJ20" s="46"/>
      <c r="AK20" s="47"/>
      <c r="AL20" s="44">
        <v>135140</v>
      </c>
      <c r="AM20" s="46"/>
      <c r="AN20" s="109"/>
      <c r="AO20" s="90">
        <f t="shared" si="34"/>
        <v>425880</v>
      </c>
      <c r="AP20" s="91">
        <f t="shared" si="34"/>
        <v>0</v>
      </c>
      <c r="AQ20" s="131">
        <f t="shared" si="34"/>
        <v>0</v>
      </c>
      <c r="AR20" s="44">
        <v>141226</v>
      </c>
      <c r="AS20" s="46"/>
      <c r="AT20" s="21"/>
      <c r="AU20" s="44">
        <v>147824</v>
      </c>
      <c r="AV20" s="46"/>
      <c r="AW20" s="21"/>
      <c r="AX20" s="44">
        <v>135194</v>
      </c>
      <c r="AY20" s="47"/>
      <c r="AZ20" s="272"/>
      <c r="BA20" s="44">
        <f t="shared" si="35"/>
        <v>424244</v>
      </c>
      <c r="BB20" s="45">
        <f t="shared" si="35"/>
        <v>0</v>
      </c>
      <c r="BC20" s="46">
        <f t="shared" si="35"/>
        <v>0</v>
      </c>
      <c r="BD20" s="45">
        <v>125670</v>
      </c>
      <c r="BE20" s="46"/>
      <c r="BF20" s="109"/>
      <c r="BG20" s="44">
        <v>142064</v>
      </c>
      <c r="BH20" s="46"/>
      <c r="BI20" s="21"/>
      <c r="BJ20" s="261">
        <v>141720</v>
      </c>
      <c r="BK20" s="46"/>
      <c r="BL20" s="109"/>
      <c r="BM20" s="44">
        <f t="shared" si="36"/>
        <v>409454</v>
      </c>
      <c r="BN20" s="45">
        <f t="shared" si="36"/>
        <v>0</v>
      </c>
      <c r="BO20" s="46">
        <f t="shared" si="36"/>
        <v>0</v>
      </c>
      <c r="BP20" s="90">
        <f>AC20+AO20+BA20+BM20</f>
        <v>1710110</v>
      </c>
      <c r="BQ20" s="91">
        <f>AD20+AP20+BB20+BN20</f>
        <v>0</v>
      </c>
      <c r="BR20" s="453">
        <f>AE20+AQ20+BC20+BO20</f>
        <v>0</v>
      </c>
      <c r="BS20" s="272"/>
      <c r="BT20" s="154"/>
      <c r="BU20" s="155"/>
      <c r="BV20" s="153"/>
      <c r="BW20" s="154"/>
      <c r="BX20" s="159"/>
      <c r="BY20" s="139"/>
      <c r="BZ20" s="91"/>
      <c r="CA20" s="131"/>
      <c r="CB20" s="90">
        <f t="shared" si="37"/>
        <v>0</v>
      </c>
      <c r="CC20" s="91">
        <f t="shared" si="37"/>
        <v>0</v>
      </c>
      <c r="CD20" s="36">
        <f t="shared" si="37"/>
        <v>0</v>
      </c>
      <c r="CE20" s="90"/>
      <c r="CF20" s="91"/>
      <c r="CG20" s="131"/>
      <c r="CH20" s="90"/>
      <c r="CI20" s="91"/>
      <c r="CJ20" s="36"/>
      <c r="CK20" s="90"/>
      <c r="CL20" s="91"/>
      <c r="CM20" s="36"/>
      <c r="CN20" s="99">
        <f t="shared" si="38"/>
        <v>0</v>
      </c>
      <c r="CO20" s="100">
        <f t="shared" si="38"/>
        <v>0</v>
      </c>
      <c r="CP20" s="101">
        <f t="shared" si="38"/>
        <v>0</v>
      </c>
      <c r="CQ20" s="392">
        <v>136000</v>
      </c>
      <c r="CR20" s="392">
        <v>138000</v>
      </c>
      <c r="CS20" s="390">
        <v>138000</v>
      </c>
      <c r="CT20" s="391">
        <f>CQ20+CR20+CS20</f>
        <v>412000</v>
      </c>
      <c r="CU20" s="390">
        <v>155000</v>
      </c>
      <c r="CV20" s="390">
        <v>150000</v>
      </c>
      <c r="CW20" s="390">
        <v>583800</v>
      </c>
      <c r="CX20" s="464"/>
      <c r="CY20" s="251"/>
      <c r="CZ20" s="383"/>
      <c r="DA20" s="385">
        <f>S20-BP20</f>
        <v>10550</v>
      </c>
      <c r="DB20" s="283">
        <f>BP20/12</f>
        <v>142509.16666666666</v>
      </c>
      <c r="DD20" s="482">
        <v>1314000</v>
      </c>
      <c r="DE20" s="659">
        <f>BP20-S20</f>
        <v>-10550</v>
      </c>
    </row>
    <row r="21" spans="1:109" s="9" customFormat="1" ht="25.5" customHeight="1" thickBot="1">
      <c r="A21" s="3" t="s">
        <v>8</v>
      </c>
      <c r="B21" s="4" t="s">
        <v>11</v>
      </c>
      <c r="C21" s="73">
        <v>0</v>
      </c>
      <c r="D21" s="92"/>
      <c r="E21" s="95">
        <v>1815851.6</v>
      </c>
      <c r="F21" s="95">
        <v>0</v>
      </c>
      <c r="G21" s="95">
        <v>0</v>
      </c>
      <c r="H21" s="205">
        <v>1818600</v>
      </c>
      <c r="I21" s="421">
        <v>0</v>
      </c>
      <c r="J21" s="205">
        <f>J19+J20</f>
        <v>152000</v>
      </c>
      <c r="K21" s="205">
        <f>K19+K20</f>
        <v>152000</v>
      </c>
      <c r="L21" s="205">
        <f>L19+L20</f>
        <v>152000</v>
      </c>
      <c r="M21" s="205">
        <f>M19+M20</f>
        <v>306000</v>
      </c>
      <c r="N21" s="283">
        <v>151320.96666666667</v>
      </c>
      <c r="O21" s="311">
        <v>-2748.399999999907</v>
      </c>
      <c r="P21" s="343"/>
      <c r="Q21" s="495">
        <f aca="true" t="shared" si="39" ref="Q21:AV21">Q18+Q19+Q20</f>
        <v>159000</v>
      </c>
      <c r="R21" s="495">
        <f t="shared" si="39"/>
        <v>729270</v>
      </c>
      <c r="S21" s="353">
        <f t="shared" si="39"/>
        <v>1778060</v>
      </c>
      <c r="T21" s="92">
        <f t="shared" si="39"/>
        <v>154612</v>
      </c>
      <c r="U21" s="92">
        <f t="shared" si="39"/>
        <v>0</v>
      </c>
      <c r="V21" s="92">
        <f t="shared" si="39"/>
        <v>0</v>
      </c>
      <c r="W21" s="92">
        <f t="shared" si="39"/>
        <v>155340</v>
      </c>
      <c r="X21" s="92">
        <f t="shared" si="39"/>
        <v>0</v>
      </c>
      <c r="Y21" s="92">
        <f t="shared" si="39"/>
        <v>0</v>
      </c>
      <c r="Z21" s="92">
        <f t="shared" si="39"/>
        <v>154740</v>
      </c>
      <c r="AA21" s="92">
        <f t="shared" si="39"/>
        <v>0</v>
      </c>
      <c r="AB21" s="92">
        <f t="shared" si="39"/>
        <v>0</v>
      </c>
      <c r="AC21" s="92">
        <f t="shared" si="39"/>
        <v>464692</v>
      </c>
      <c r="AD21" s="92">
        <f t="shared" si="39"/>
        <v>0</v>
      </c>
      <c r="AE21" s="92">
        <f t="shared" si="39"/>
        <v>0</v>
      </c>
      <c r="AF21" s="92">
        <f t="shared" si="39"/>
        <v>143460</v>
      </c>
      <c r="AG21" s="92">
        <f t="shared" si="39"/>
        <v>0</v>
      </c>
      <c r="AH21" s="92">
        <f t="shared" si="39"/>
        <v>0</v>
      </c>
      <c r="AI21" s="92">
        <f t="shared" si="39"/>
        <v>154720</v>
      </c>
      <c r="AJ21" s="92">
        <f t="shared" si="39"/>
        <v>0</v>
      </c>
      <c r="AK21" s="92">
        <f t="shared" si="39"/>
        <v>0</v>
      </c>
      <c r="AL21" s="92">
        <f t="shared" si="39"/>
        <v>141020</v>
      </c>
      <c r="AM21" s="92">
        <f t="shared" si="39"/>
        <v>0</v>
      </c>
      <c r="AN21" s="95">
        <f t="shared" si="39"/>
        <v>0</v>
      </c>
      <c r="AO21" s="95">
        <f t="shared" si="39"/>
        <v>439200</v>
      </c>
      <c r="AP21" s="95">
        <f t="shared" si="39"/>
        <v>0</v>
      </c>
      <c r="AQ21" s="95">
        <f t="shared" si="39"/>
        <v>0</v>
      </c>
      <c r="AR21" s="95">
        <f t="shared" si="39"/>
        <v>146866</v>
      </c>
      <c r="AS21" s="95">
        <f t="shared" si="39"/>
        <v>0</v>
      </c>
      <c r="AT21" s="92">
        <f t="shared" si="39"/>
        <v>0</v>
      </c>
      <c r="AU21" s="95">
        <f t="shared" si="39"/>
        <v>151784</v>
      </c>
      <c r="AV21" s="95">
        <f t="shared" si="39"/>
        <v>0</v>
      </c>
      <c r="AW21" s="92">
        <f aca="true" t="shared" si="40" ref="AW21:CB21">AW18+AW19+AW20</f>
        <v>0</v>
      </c>
      <c r="AX21" s="95">
        <f t="shared" si="40"/>
        <v>140234</v>
      </c>
      <c r="AY21" s="92">
        <f t="shared" si="40"/>
        <v>0</v>
      </c>
      <c r="AZ21" s="142">
        <f t="shared" si="40"/>
        <v>0</v>
      </c>
      <c r="BA21" s="95">
        <f t="shared" si="40"/>
        <v>438884</v>
      </c>
      <c r="BB21" s="95">
        <f t="shared" si="40"/>
        <v>0</v>
      </c>
      <c r="BC21" s="95">
        <f t="shared" si="40"/>
        <v>0</v>
      </c>
      <c r="BD21" s="95">
        <f t="shared" si="40"/>
        <v>129390</v>
      </c>
      <c r="BE21" s="95">
        <f t="shared" si="40"/>
        <v>0</v>
      </c>
      <c r="BF21" s="95">
        <f t="shared" si="40"/>
        <v>0</v>
      </c>
      <c r="BG21" s="95">
        <f t="shared" si="40"/>
        <v>146984</v>
      </c>
      <c r="BH21" s="95">
        <f t="shared" si="40"/>
        <v>0</v>
      </c>
      <c r="BI21" s="95">
        <f t="shared" si="40"/>
        <v>0</v>
      </c>
      <c r="BJ21" s="95">
        <f t="shared" si="40"/>
        <v>147120</v>
      </c>
      <c r="BK21" s="95">
        <f t="shared" si="40"/>
        <v>0</v>
      </c>
      <c r="BL21" s="95">
        <f t="shared" si="40"/>
        <v>0</v>
      </c>
      <c r="BM21" s="95">
        <f t="shared" si="40"/>
        <v>423494</v>
      </c>
      <c r="BN21" s="95">
        <f t="shared" si="40"/>
        <v>0</v>
      </c>
      <c r="BO21" s="95">
        <f t="shared" si="40"/>
        <v>0</v>
      </c>
      <c r="BP21" s="92">
        <f t="shared" si="40"/>
        <v>1767200</v>
      </c>
      <c r="BQ21" s="92">
        <f t="shared" si="40"/>
        <v>0</v>
      </c>
      <c r="BR21" s="454">
        <f t="shared" si="40"/>
        <v>0</v>
      </c>
      <c r="BS21" s="92">
        <f t="shared" si="40"/>
        <v>0</v>
      </c>
      <c r="BT21" s="92">
        <f t="shared" si="40"/>
        <v>0</v>
      </c>
      <c r="BU21" s="92">
        <f t="shared" si="40"/>
        <v>0</v>
      </c>
      <c r="BV21" s="92">
        <f t="shared" si="40"/>
        <v>0</v>
      </c>
      <c r="BW21" s="92">
        <f t="shared" si="40"/>
        <v>0</v>
      </c>
      <c r="BX21" s="92">
        <f t="shared" si="40"/>
        <v>0</v>
      </c>
      <c r="BY21" s="92">
        <f t="shared" si="40"/>
        <v>0</v>
      </c>
      <c r="BZ21" s="92">
        <f t="shared" si="40"/>
        <v>0</v>
      </c>
      <c r="CA21" s="92">
        <f t="shared" si="40"/>
        <v>0</v>
      </c>
      <c r="CB21" s="92">
        <f t="shared" si="40"/>
        <v>0</v>
      </c>
      <c r="CC21" s="92">
        <f aca="true" t="shared" si="41" ref="CC21:CX21">CC18+CC19+CC20</f>
        <v>0</v>
      </c>
      <c r="CD21" s="92">
        <f t="shared" si="41"/>
        <v>0</v>
      </c>
      <c r="CE21" s="92">
        <f t="shared" si="41"/>
        <v>0</v>
      </c>
      <c r="CF21" s="92">
        <f t="shared" si="41"/>
        <v>0</v>
      </c>
      <c r="CG21" s="92">
        <f t="shared" si="41"/>
        <v>0</v>
      </c>
      <c r="CH21" s="92">
        <f t="shared" si="41"/>
        <v>0</v>
      </c>
      <c r="CI21" s="92">
        <f t="shared" si="41"/>
        <v>0</v>
      </c>
      <c r="CJ21" s="92">
        <f t="shared" si="41"/>
        <v>0</v>
      </c>
      <c r="CK21" s="92">
        <f t="shared" si="41"/>
        <v>0</v>
      </c>
      <c r="CL21" s="92">
        <f t="shared" si="41"/>
        <v>0</v>
      </c>
      <c r="CM21" s="92">
        <f t="shared" si="41"/>
        <v>0</v>
      </c>
      <c r="CN21" s="92">
        <f t="shared" si="41"/>
        <v>0</v>
      </c>
      <c r="CO21" s="92">
        <f t="shared" si="41"/>
        <v>0</v>
      </c>
      <c r="CP21" s="92">
        <f t="shared" si="41"/>
        <v>0</v>
      </c>
      <c r="CQ21" s="92">
        <f t="shared" si="41"/>
        <v>142000</v>
      </c>
      <c r="CR21" s="92">
        <f t="shared" si="41"/>
        <v>143000</v>
      </c>
      <c r="CS21" s="92">
        <f t="shared" si="41"/>
        <v>143000</v>
      </c>
      <c r="CT21" s="92">
        <f t="shared" si="41"/>
        <v>428000</v>
      </c>
      <c r="CU21" s="92">
        <f t="shared" si="41"/>
        <v>160000</v>
      </c>
      <c r="CV21" s="92">
        <f t="shared" si="41"/>
        <v>157000</v>
      </c>
      <c r="CW21" s="92">
        <f t="shared" si="41"/>
        <v>607160</v>
      </c>
      <c r="CX21" s="454">
        <f t="shared" si="41"/>
        <v>0</v>
      </c>
      <c r="CY21" s="252">
        <f>AC21-CT21</f>
        <v>36692</v>
      </c>
      <c r="CZ21" s="379"/>
      <c r="DA21" s="411"/>
      <c r="DB21" s="478"/>
      <c r="DD21" s="353">
        <f>SUM(DD19:DD20)</f>
        <v>1356830</v>
      </c>
      <c r="DE21" s="656">
        <f>DE19+DE20</f>
        <v>-10860</v>
      </c>
    </row>
    <row r="22" spans="1:109" s="1" customFormat="1" ht="21" customHeight="1" thickBot="1">
      <c r="A22" s="685" t="s">
        <v>10</v>
      </c>
      <c r="B22" s="686"/>
      <c r="C22" s="422"/>
      <c r="D22" s="423"/>
      <c r="E22" s="99">
        <v>0</v>
      </c>
      <c r="F22" s="100">
        <v>0</v>
      </c>
      <c r="G22" s="101">
        <v>0</v>
      </c>
      <c r="H22" s="307">
        <v>35207580</v>
      </c>
      <c r="I22" s="420"/>
      <c r="J22" s="323"/>
      <c r="K22" s="323"/>
      <c r="L22" s="323"/>
      <c r="M22" s="323"/>
      <c r="N22" s="283">
        <v>0</v>
      </c>
      <c r="O22" s="58"/>
      <c r="P22" s="340"/>
      <c r="Q22" s="506"/>
      <c r="R22" s="515"/>
      <c r="S22" s="355">
        <f>S17+S21</f>
        <v>40244540</v>
      </c>
      <c r="T22" s="262"/>
      <c r="U22" s="77"/>
      <c r="V22" s="75"/>
      <c r="W22" s="78"/>
      <c r="X22" s="77"/>
      <c r="Y22" s="75"/>
      <c r="Z22" s="78"/>
      <c r="AA22" s="77"/>
      <c r="AB22" s="75"/>
      <c r="AC22" s="90">
        <f aca="true" t="shared" si="42" ref="AC22:AE24">T22+W22+Z22</f>
        <v>0</v>
      </c>
      <c r="AD22" s="91">
        <f t="shared" si="42"/>
        <v>0</v>
      </c>
      <c r="AE22" s="36">
        <f t="shared" si="42"/>
        <v>0</v>
      </c>
      <c r="AF22" s="78">
        <v>0</v>
      </c>
      <c r="AG22" s="83">
        <v>0</v>
      </c>
      <c r="AH22" s="25">
        <v>0</v>
      </c>
      <c r="AI22" s="78"/>
      <c r="AJ22" s="83"/>
      <c r="AK22" s="75"/>
      <c r="AL22" s="78"/>
      <c r="AM22" s="83"/>
      <c r="AN22" s="110"/>
      <c r="AO22" s="90">
        <f aca="true" t="shared" si="43" ref="AO22:AQ24">AF22+AI22+AL22</f>
        <v>0</v>
      </c>
      <c r="AP22" s="91">
        <f t="shared" si="43"/>
        <v>0</v>
      </c>
      <c r="AQ22" s="131">
        <f t="shared" si="43"/>
        <v>0</v>
      </c>
      <c r="AR22" s="78"/>
      <c r="AS22" s="83"/>
      <c r="AT22" s="25"/>
      <c r="AU22" s="78"/>
      <c r="AV22" s="83"/>
      <c r="AW22" s="25"/>
      <c r="AX22" s="78"/>
      <c r="AY22" s="75"/>
      <c r="AZ22" s="508"/>
      <c r="BA22" s="44">
        <f aca="true" t="shared" si="44" ref="BA22:BC24">AR22+AU22+AX22</f>
        <v>0</v>
      </c>
      <c r="BB22" s="45">
        <f t="shared" si="44"/>
        <v>0</v>
      </c>
      <c r="BC22" s="46">
        <f t="shared" si="44"/>
        <v>0</v>
      </c>
      <c r="BD22" s="77"/>
      <c r="BE22" s="83"/>
      <c r="BF22" s="110"/>
      <c r="BG22" s="78"/>
      <c r="BH22" s="83"/>
      <c r="BI22" s="25"/>
      <c r="BJ22" s="262"/>
      <c r="BK22" s="83"/>
      <c r="BL22" s="110"/>
      <c r="BM22" s="44">
        <f aca="true" t="shared" si="45" ref="BM22:BO24">BD22+BG22+BJ22</f>
        <v>0</v>
      </c>
      <c r="BN22" s="45">
        <f t="shared" si="45"/>
        <v>0</v>
      </c>
      <c r="BO22" s="46">
        <f t="shared" si="45"/>
        <v>0</v>
      </c>
      <c r="BP22" s="90">
        <f aca="true" t="shared" si="46" ref="BP22:BR24">AC22+AO22+BA22+BM22</f>
        <v>0</v>
      </c>
      <c r="BQ22" s="91">
        <f t="shared" si="46"/>
        <v>0</v>
      </c>
      <c r="BR22" s="453">
        <f t="shared" si="46"/>
        <v>0</v>
      </c>
      <c r="BS22" s="271"/>
      <c r="BT22" s="154"/>
      <c r="BU22" s="155"/>
      <c r="BV22" s="153"/>
      <c r="BW22" s="154"/>
      <c r="BX22" s="159"/>
      <c r="BY22" s="139"/>
      <c r="BZ22" s="91"/>
      <c r="CA22" s="131"/>
      <c r="CB22" s="90">
        <f aca="true" t="shared" si="47" ref="CB22:CD24">BS22+BV22+BY22</f>
        <v>0</v>
      </c>
      <c r="CC22" s="91">
        <f t="shared" si="47"/>
        <v>0</v>
      </c>
      <c r="CD22" s="36">
        <f t="shared" si="47"/>
        <v>0</v>
      </c>
      <c r="CE22" s="90"/>
      <c r="CF22" s="91"/>
      <c r="CG22" s="131"/>
      <c r="CH22" s="90"/>
      <c r="CI22" s="91"/>
      <c r="CJ22" s="36"/>
      <c r="CK22" s="90"/>
      <c r="CL22" s="91"/>
      <c r="CM22" s="36"/>
      <c r="CN22" s="99">
        <f aca="true" t="shared" si="48" ref="CN22:CP24">CE22+CH22+CK22</f>
        <v>0</v>
      </c>
      <c r="CO22" s="100">
        <f t="shared" si="48"/>
        <v>0</v>
      </c>
      <c r="CP22" s="101">
        <f t="shared" si="48"/>
        <v>0</v>
      </c>
      <c r="CQ22" s="392"/>
      <c r="CR22" s="392"/>
      <c r="CS22" s="390"/>
      <c r="CT22" s="391">
        <f>CQ22+CR22+CS22</f>
        <v>0</v>
      </c>
      <c r="CU22" s="390"/>
      <c r="CV22" s="390"/>
      <c r="CW22" s="390"/>
      <c r="CX22" s="465"/>
      <c r="CY22" s="251"/>
      <c r="CZ22" s="293"/>
      <c r="DA22" s="410"/>
      <c r="DB22" s="477">
        <f>BP22/2</f>
        <v>0</v>
      </c>
      <c r="DD22" s="484">
        <f>J22+K22+L22</f>
        <v>0</v>
      </c>
      <c r="DE22" s="657"/>
    </row>
    <row r="23" spans="1:109" s="1" customFormat="1" ht="18" customHeight="1" thickBot="1">
      <c r="A23" s="688" t="s">
        <v>32</v>
      </c>
      <c r="B23" s="5" t="s">
        <v>12</v>
      </c>
      <c r="C23" s="366">
        <v>18556.25</v>
      </c>
      <c r="D23" s="178"/>
      <c r="E23" s="90">
        <v>49043.42</v>
      </c>
      <c r="F23" s="91">
        <v>55827.66</v>
      </c>
      <c r="G23" s="36">
        <v>140362.23</v>
      </c>
      <c r="H23" s="220">
        <v>60600</v>
      </c>
      <c r="I23" s="251"/>
      <c r="J23" s="320">
        <v>5000</v>
      </c>
      <c r="K23" s="320">
        <v>3000</v>
      </c>
      <c r="L23" s="320">
        <v>5000</v>
      </c>
      <c r="M23" s="320">
        <v>0</v>
      </c>
      <c r="N23" s="283">
        <v>4086.9516666666664</v>
      </c>
      <c r="O23" s="47">
        <v>-4772.34</v>
      </c>
      <c r="P23" s="339"/>
      <c r="Q23" s="502">
        <v>0</v>
      </c>
      <c r="R23" s="511">
        <f>23690+4420</f>
        <v>28110</v>
      </c>
      <c r="S23" s="632">
        <f>J23+K23+L23+M23+Q23+R23-10000</f>
        <v>31110</v>
      </c>
      <c r="T23" s="263">
        <v>0</v>
      </c>
      <c r="U23" s="49"/>
      <c r="V23" s="58">
        <v>6322.52</v>
      </c>
      <c r="W23" s="48">
        <v>5419.7</v>
      </c>
      <c r="X23" s="49"/>
      <c r="Y23" s="58"/>
      <c r="Z23" s="48">
        <v>1344.04</v>
      </c>
      <c r="AA23" s="49"/>
      <c r="AB23" s="58"/>
      <c r="AC23" s="90">
        <f t="shared" si="42"/>
        <v>6763.74</v>
      </c>
      <c r="AD23" s="91">
        <f t="shared" si="42"/>
        <v>0</v>
      </c>
      <c r="AE23" s="36">
        <f t="shared" si="42"/>
        <v>6322.52</v>
      </c>
      <c r="AF23" s="48">
        <v>4386.31</v>
      </c>
      <c r="AG23" s="50">
        <v>0</v>
      </c>
      <c r="AH23" s="22">
        <v>6322.78</v>
      </c>
      <c r="AI23" s="48">
        <v>0</v>
      </c>
      <c r="AJ23" s="50">
        <v>9032.83</v>
      </c>
      <c r="AK23" s="58"/>
      <c r="AL23" s="48"/>
      <c r="AM23" s="50"/>
      <c r="AN23" s="111"/>
      <c r="AO23" s="90">
        <f t="shared" si="43"/>
        <v>4386.31</v>
      </c>
      <c r="AP23" s="91">
        <f t="shared" si="43"/>
        <v>9032.83</v>
      </c>
      <c r="AQ23" s="131">
        <f t="shared" si="43"/>
        <v>6322.78</v>
      </c>
      <c r="AR23" s="48">
        <v>9754.97</v>
      </c>
      <c r="AS23" s="50"/>
      <c r="AT23" s="22"/>
      <c r="AU23" s="48">
        <v>0</v>
      </c>
      <c r="AV23" s="50"/>
      <c r="AW23" s="22">
        <v>9032.83</v>
      </c>
      <c r="AX23" s="48">
        <v>0</v>
      </c>
      <c r="AY23" s="58"/>
      <c r="AZ23" s="339"/>
      <c r="BA23" s="44">
        <f t="shared" si="44"/>
        <v>9754.97</v>
      </c>
      <c r="BB23" s="45">
        <f t="shared" si="44"/>
        <v>0</v>
      </c>
      <c r="BC23" s="46">
        <f t="shared" si="44"/>
        <v>9032.83</v>
      </c>
      <c r="BD23" s="49">
        <v>632.18</v>
      </c>
      <c r="BE23" s="50">
        <v>9032.83</v>
      </c>
      <c r="BF23" s="111"/>
      <c r="BG23" s="48">
        <v>632.18</v>
      </c>
      <c r="BH23" s="50"/>
      <c r="BI23" s="22"/>
      <c r="BJ23" s="263">
        <v>1792.05</v>
      </c>
      <c r="BK23" s="50">
        <v>7421.23</v>
      </c>
      <c r="BL23" s="111"/>
      <c r="BM23" s="44">
        <f t="shared" si="45"/>
        <v>3056.41</v>
      </c>
      <c r="BN23" s="45">
        <f t="shared" si="45"/>
        <v>16454.059999999998</v>
      </c>
      <c r="BO23" s="46">
        <f t="shared" si="45"/>
        <v>0</v>
      </c>
      <c r="BP23" s="90">
        <f t="shared" si="46"/>
        <v>23961.429999999997</v>
      </c>
      <c r="BQ23" s="91">
        <f t="shared" si="46"/>
        <v>25486.89</v>
      </c>
      <c r="BR23" s="453">
        <f t="shared" si="46"/>
        <v>21678.129999999997</v>
      </c>
      <c r="BS23" s="271"/>
      <c r="BT23" s="154"/>
      <c r="BU23" s="155"/>
      <c r="BV23" s="153"/>
      <c r="BW23" s="154"/>
      <c r="BX23" s="159"/>
      <c r="BY23" s="139"/>
      <c r="BZ23" s="91"/>
      <c r="CA23" s="131"/>
      <c r="CB23" s="90">
        <f t="shared" si="47"/>
        <v>0</v>
      </c>
      <c r="CC23" s="91">
        <f t="shared" si="47"/>
        <v>0</v>
      </c>
      <c r="CD23" s="36">
        <f t="shared" si="47"/>
        <v>0</v>
      </c>
      <c r="CE23" s="90"/>
      <c r="CF23" s="91"/>
      <c r="CG23" s="131"/>
      <c r="CH23" s="90"/>
      <c r="CI23" s="91"/>
      <c r="CJ23" s="36"/>
      <c r="CK23" s="90"/>
      <c r="CL23" s="91"/>
      <c r="CM23" s="36"/>
      <c r="CN23" s="99">
        <f t="shared" si="48"/>
        <v>0</v>
      </c>
      <c r="CO23" s="100">
        <f t="shared" si="48"/>
        <v>0</v>
      </c>
      <c r="CP23" s="101">
        <f t="shared" si="48"/>
        <v>0</v>
      </c>
      <c r="CQ23" s="392">
        <v>5000</v>
      </c>
      <c r="CR23" s="392">
        <v>5000</v>
      </c>
      <c r="CS23" s="390">
        <v>5000</v>
      </c>
      <c r="CT23" s="391">
        <f>CQ23+CR23+CS23</f>
        <v>15000</v>
      </c>
      <c r="CU23" s="390">
        <v>6000</v>
      </c>
      <c r="CV23" s="390">
        <v>6000</v>
      </c>
      <c r="CW23" s="390">
        <v>33600</v>
      </c>
      <c r="CX23" s="238">
        <f>C23+BQ23-BP23</f>
        <v>20081.710000000003</v>
      </c>
      <c r="CY23" s="251"/>
      <c r="CZ23" s="288">
        <f>S23-BQ23</f>
        <v>5623.110000000001</v>
      </c>
      <c r="DA23" s="405"/>
      <c r="DB23" s="283">
        <f>BP23/12</f>
        <v>1996.7858333333331</v>
      </c>
      <c r="DD23" s="482">
        <v>29000</v>
      </c>
      <c r="DE23" s="660">
        <f>BQ23-S23</f>
        <v>-5623.110000000001</v>
      </c>
    </row>
    <row r="24" spans="1:109" s="1" customFormat="1" ht="18" customHeight="1" thickBot="1">
      <c r="A24" s="698"/>
      <c r="B24" s="13" t="s">
        <v>13</v>
      </c>
      <c r="C24" s="367">
        <v>18145.88</v>
      </c>
      <c r="D24" s="179"/>
      <c r="E24" s="102">
        <v>106189.87</v>
      </c>
      <c r="F24" s="103">
        <v>96308.96</v>
      </c>
      <c r="G24" s="104">
        <v>27787.77</v>
      </c>
      <c r="H24" s="418">
        <v>99840</v>
      </c>
      <c r="I24" s="419"/>
      <c r="J24" s="417">
        <v>8000</v>
      </c>
      <c r="K24" s="417">
        <v>4000</v>
      </c>
      <c r="L24" s="417">
        <v>8000</v>
      </c>
      <c r="M24" s="417">
        <v>0</v>
      </c>
      <c r="N24" s="283">
        <v>8849.155833333332</v>
      </c>
      <c r="O24" s="267">
        <v>-3531.040000000008</v>
      </c>
      <c r="P24" s="303"/>
      <c r="Q24" s="503">
        <v>0</v>
      </c>
      <c r="R24" s="511">
        <v>16340</v>
      </c>
      <c r="S24" s="632">
        <f>J24+K24+L24+M24+Q24+R24</f>
        <v>36340</v>
      </c>
      <c r="T24" s="261">
        <v>3024.31</v>
      </c>
      <c r="U24" s="45"/>
      <c r="V24" s="47">
        <v>20677.48</v>
      </c>
      <c r="W24" s="44">
        <v>3024.32</v>
      </c>
      <c r="X24" s="45"/>
      <c r="Y24" s="47"/>
      <c r="Z24" s="44">
        <v>3024.31</v>
      </c>
      <c r="AA24" s="45"/>
      <c r="AB24" s="47">
        <v>15300</v>
      </c>
      <c r="AC24" s="90">
        <f t="shared" si="42"/>
        <v>9072.94</v>
      </c>
      <c r="AD24" s="91">
        <f t="shared" si="42"/>
        <v>0</v>
      </c>
      <c r="AE24" s="36">
        <f t="shared" si="42"/>
        <v>35977.479999999996</v>
      </c>
      <c r="AF24" s="44">
        <v>3024.31</v>
      </c>
      <c r="AG24" s="46">
        <v>0</v>
      </c>
      <c r="AH24" s="21">
        <v>0</v>
      </c>
      <c r="AI24" s="44">
        <v>6048.63</v>
      </c>
      <c r="AJ24" s="46"/>
      <c r="AK24" s="47"/>
      <c r="AL24" s="44"/>
      <c r="AM24" s="46">
        <v>14958.01</v>
      </c>
      <c r="AN24" s="109"/>
      <c r="AO24" s="90">
        <f t="shared" si="43"/>
        <v>9072.94</v>
      </c>
      <c r="AP24" s="91">
        <f t="shared" si="43"/>
        <v>14958.01</v>
      </c>
      <c r="AQ24" s="131">
        <f t="shared" si="43"/>
        <v>0</v>
      </c>
      <c r="AR24" s="44">
        <v>5983.21</v>
      </c>
      <c r="AS24" s="46">
        <v>2991.6</v>
      </c>
      <c r="AT24" s="21"/>
      <c r="AU24" s="44">
        <v>5983.2</v>
      </c>
      <c r="AV24" s="46"/>
      <c r="AW24" s="21"/>
      <c r="AX24" s="44">
        <v>5983.2</v>
      </c>
      <c r="AY24" s="47"/>
      <c r="AZ24" s="272">
        <v>14964.39</v>
      </c>
      <c r="BA24" s="44">
        <f t="shared" si="44"/>
        <v>17949.61</v>
      </c>
      <c r="BB24" s="45">
        <f t="shared" si="44"/>
        <v>2991.6</v>
      </c>
      <c r="BC24" s="46">
        <f t="shared" si="44"/>
        <v>14964.39</v>
      </c>
      <c r="BD24" s="45">
        <v>5804.25</v>
      </c>
      <c r="BE24" s="46">
        <v>17412.75</v>
      </c>
      <c r="BF24" s="109">
        <v>2985.22</v>
      </c>
      <c r="BG24" s="44">
        <v>5804.25</v>
      </c>
      <c r="BH24" s="46"/>
      <c r="BI24" s="21"/>
      <c r="BJ24" s="261">
        <v>5804.25</v>
      </c>
      <c r="BK24" s="46"/>
      <c r="BL24" s="109">
        <v>4.78</v>
      </c>
      <c r="BM24" s="44">
        <f t="shared" si="45"/>
        <v>17412.75</v>
      </c>
      <c r="BN24" s="45">
        <f t="shared" si="45"/>
        <v>17412.75</v>
      </c>
      <c r="BO24" s="46">
        <f t="shared" si="45"/>
        <v>2990</v>
      </c>
      <c r="BP24" s="90">
        <f t="shared" si="46"/>
        <v>53508.240000000005</v>
      </c>
      <c r="BQ24" s="91">
        <f t="shared" si="46"/>
        <v>35362.36</v>
      </c>
      <c r="BR24" s="453">
        <f t="shared" si="46"/>
        <v>53931.869999999995</v>
      </c>
      <c r="BS24" s="271"/>
      <c r="BT24" s="154"/>
      <c r="BU24" s="155"/>
      <c r="BV24" s="153"/>
      <c r="BW24" s="154"/>
      <c r="BX24" s="159"/>
      <c r="BY24" s="139"/>
      <c r="BZ24" s="91"/>
      <c r="CA24" s="131"/>
      <c r="CB24" s="90">
        <f t="shared" si="47"/>
        <v>0</v>
      </c>
      <c r="CC24" s="91">
        <f t="shared" si="47"/>
        <v>0</v>
      </c>
      <c r="CD24" s="36">
        <f t="shared" si="47"/>
        <v>0</v>
      </c>
      <c r="CE24" s="90"/>
      <c r="CF24" s="91"/>
      <c r="CG24" s="131"/>
      <c r="CH24" s="90"/>
      <c r="CI24" s="91"/>
      <c r="CJ24" s="36"/>
      <c r="CK24" s="90"/>
      <c r="CL24" s="91"/>
      <c r="CM24" s="36"/>
      <c r="CN24" s="99">
        <f t="shared" si="48"/>
        <v>0</v>
      </c>
      <c r="CO24" s="100">
        <f t="shared" si="48"/>
        <v>0</v>
      </c>
      <c r="CP24" s="101">
        <f t="shared" si="48"/>
        <v>0</v>
      </c>
      <c r="CQ24" s="392">
        <v>10000</v>
      </c>
      <c r="CR24" s="392">
        <v>9000</v>
      </c>
      <c r="CS24" s="390">
        <v>9000</v>
      </c>
      <c r="CT24" s="391">
        <f>CQ24+CR24+CS24</f>
        <v>28000</v>
      </c>
      <c r="CU24" s="390">
        <v>9000</v>
      </c>
      <c r="CV24" s="390">
        <v>9000</v>
      </c>
      <c r="CW24" s="390">
        <v>27590</v>
      </c>
      <c r="CX24" s="238">
        <f>C24+BQ24-BP24</f>
        <v>0</v>
      </c>
      <c r="CY24" s="251"/>
      <c r="CZ24" s="380">
        <f>S24-BQ24</f>
        <v>977.6399999999994</v>
      </c>
      <c r="DA24" s="409"/>
      <c r="DB24" s="283">
        <f>BP24/12</f>
        <v>4459.02</v>
      </c>
      <c r="DD24" s="482">
        <f>J24+K24+L24+M24+Q24+R24</f>
        <v>36340</v>
      </c>
      <c r="DE24" s="660">
        <f>BQ24-S24</f>
        <v>-977.6399999999994</v>
      </c>
    </row>
    <row r="25" spans="1:109" s="1" customFormat="1" ht="19.5" customHeight="1" thickBot="1">
      <c r="A25" s="685" t="s">
        <v>14</v>
      </c>
      <c r="B25" s="686"/>
      <c r="C25" s="73">
        <v>36702.1</v>
      </c>
      <c r="D25" s="52"/>
      <c r="E25" s="56">
        <v>155233.29</v>
      </c>
      <c r="F25" s="56">
        <v>152136.62</v>
      </c>
      <c r="G25" s="56">
        <v>168150</v>
      </c>
      <c r="H25" s="204">
        <v>160440</v>
      </c>
      <c r="I25" s="424">
        <v>0</v>
      </c>
      <c r="J25" s="204">
        <f>J23+J24</f>
        <v>13000</v>
      </c>
      <c r="K25" s="204">
        <f>K23+K24</f>
        <v>7000</v>
      </c>
      <c r="L25" s="204">
        <f>L23+L24</f>
        <v>13000</v>
      </c>
      <c r="M25" s="204">
        <f>M23+M24</f>
        <v>0</v>
      </c>
      <c r="N25" s="283">
        <v>12936.107499999998</v>
      </c>
      <c r="O25" s="311">
        <v>-8303.38</v>
      </c>
      <c r="P25" s="130"/>
      <c r="Q25" s="353">
        <f aca="true" t="shared" si="49" ref="Q25:AV25">Q23+Q24</f>
        <v>0</v>
      </c>
      <c r="R25" s="353">
        <f t="shared" si="49"/>
        <v>44450</v>
      </c>
      <c r="S25" s="353">
        <f t="shared" si="49"/>
        <v>67450</v>
      </c>
      <c r="T25" s="92">
        <f t="shared" si="49"/>
        <v>3024.31</v>
      </c>
      <c r="U25" s="92">
        <f t="shared" si="49"/>
        <v>0</v>
      </c>
      <c r="V25" s="92">
        <f t="shared" si="49"/>
        <v>27000</v>
      </c>
      <c r="W25" s="92">
        <f t="shared" si="49"/>
        <v>8444.02</v>
      </c>
      <c r="X25" s="92">
        <f t="shared" si="49"/>
        <v>0</v>
      </c>
      <c r="Y25" s="92">
        <f t="shared" si="49"/>
        <v>0</v>
      </c>
      <c r="Z25" s="92">
        <f t="shared" si="49"/>
        <v>4368.35</v>
      </c>
      <c r="AA25" s="92">
        <f t="shared" si="49"/>
        <v>0</v>
      </c>
      <c r="AB25" s="92">
        <f t="shared" si="49"/>
        <v>15300</v>
      </c>
      <c r="AC25" s="92">
        <f t="shared" si="49"/>
        <v>15836.68</v>
      </c>
      <c r="AD25" s="92">
        <f t="shared" si="49"/>
        <v>0</v>
      </c>
      <c r="AE25" s="92">
        <f t="shared" si="49"/>
        <v>42300</v>
      </c>
      <c r="AF25" s="92">
        <f t="shared" si="49"/>
        <v>7410.620000000001</v>
      </c>
      <c r="AG25" s="92">
        <f t="shared" si="49"/>
        <v>0</v>
      </c>
      <c r="AH25" s="92">
        <f t="shared" si="49"/>
        <v>6322.78</v>
      </c>
      <c r="AI25" s="92">
        <f t="shared" si="49"/>
        <v>6048.63</v>
      </c>
      <c r="AJ25" s="92">
        <f t="shared" si="49"/>
        <v>9032.83</v>
      </c>
      <c r="AK25" s="92">
        <f t="shared" si="49"/>
        <v>0</v>
      </c>
      <c r="AL25" s="92">
        <f t="shared" si="49"/>
        <v>0</v>
      </c>
      <c r="AM25" s="92">
        <f t="shared" si="49"/>
        <v>14958.01</v>
      </c>
      <c r="AN25" s="95">
        <f t="shared" si="49"/>
        <v>0</v>
      </c>
      <c r="AO25" s="95">
        <f t="shared" si="49"/>
        <v>13459.25</v>
      </c>
      <c r="AP25" s="95">
        <f t="shared" si="49"/>
        <v>23990.84</v>
      </c>
      <c r="AQ25" s="95">
        <f t="shared" si="49"/>
        <v>6322.78</v>
      </c>
      <c r="AR25" s="92">
        <f t="shared" si="49"/>
        <v>15738.18</v>
      </c>
      <c r="AS25" s="92">
        <f t="shared" si="49"/>
        <v>2991.6</v>
      </c>
      <c r="AT25" s="92">
        <f t="shared" si="49"/>
        <v>0</v>
      </c>
      <c r="AU25" s="92">
        <f t="shared" si="49"/>
        <v>5983.2</v>
      </c>
      <c r="AV25" s="92">
        <f t="shared" si="49"/>
        <v>0</v>
      </c>
      <c r="AW25" s="92">
        <f aca="true" t="shared" si="50" ref="AW25:CB25">AW23+AW24</f>
        <v>9032.83</v>
      </c>
      <c r="AX25" s="92">
        <f t="shared" si="50"/>
        <v>5983.2</v>
      </c>
      <c r="AY25" s="92">
        <f t="shared" si="50"/>
        <v>0</v>
      </c>
      <c r="AZ25" s="493">
        <f t="shared" si="50"/>
        <v>14964.39</v>
      </c>
      <c r="BA25" s="92">
        <f t="shared" si="50"/>
        <v>27704.58</v>
      </c>
      <c r="BB25" s="92">
        <f t="shared" si="50"/>
        <v>2991.6</v>
      </c>
      <c r="BC25" s="92">
        <f t="shared" si="50"/>
        <v>23997.22</v>
      </c>
      <c r="BD25" s="92">
        <f t="shared" si="50"/>
        <v>6436.43</v>
      </c>
      <c r="BE25" s="92">
        <f t="shared" si="50"/>
        <v>26445.58</v>
      </c>
      <c r="BF25" s="92">
        <f t="shared" si="50"/>
        <v>2985.22</v>
      </c>
      <c r="BG25" s="92">
        <f t="shared" si="50"/>
        <v>6436.43</v>
      </c>
      <c r="BH25" s="92">
        <f t="shared" si="50"/>
        <v>0</v>
      </c>
      <c r="BI25" s="92">
        <f t="shared" si="50"/>
        <v>0</v>
      </c>
      <c r="BJ25" s="92">
        <f t="shared" si="50"/>
        <v>7596.3</v>
      </c>
      <c r="BK25" s="92">
        <f t="shared" si="50"/>
        <v>7421.23</v>
      </c>
      <c r="BL25" s="92">
        <f t="shared" si="50"/>
        <v>4.78</v>
      </c>
      <c r="BM25" s="92">
        <f t="shared" si="50"/>
        <v>20469.16</v>
      </c>
      <c r="BN25" s="92">
        <f t="shared" si="50"/>
        <v>33866.81</v>
      </c>
      <c r="BO25" s="92">
        <f t="shared" si="50"/>
        <v>2990</v>
      </c>
      <c r="BP25" s="92">
        <f t="shared" si="50"/>
        <v>77469.67</v>
      </c>
      <c r="BQ25" s="92">
        <f t="shared" si="50"/>
        <v>60849.25</v>
      </c>
      <c r="BR25" s="454">
        <f t="shared" si="50"/>
        <v>75610</v>
      </c>
      <c r="BS25" s="92">
        <f t="shared" si="50"/>
        <v>0</v>
      </c>
      <c r="BT25" s="92">
        <f t="shared" si="50"/>
        <v>0</v>
      </c>
      <c r="BU25" s="92">
        <f t="shared" si="50"/>
        <v>0</v>
      </c>
      <c r="BV25" s="92">
        <f t="shared" si="50"/>
        <v>0</v>
      </c>
      <c r="BW25" s="92">
        <f t="shared" si="50"/>
        <v>0</v>
      </c>
      <c r="BX25" s="92">
        <f t="shared" si="50"/>
        <v>0</v>
      </c>
      <c r="BY25" s="92">
        <f t="shared" si="50"/>
        <v>0</v>
      </c>
      <c r="BZ25" s="92">
        <f t="shared" si="50"/>
        <v>0</v>
      </c>
      <c r="CA25" s="92">
        <f t="shared" si="50"/>
        <v>0</v>
      </c>
      <c r="CB25" s="92">
        <f t="shared" si="50"/>
        <v>0</v>
      </c>
      <c r="CC25" s="92">
        <f aca="true" t="shared" si="51" ref="CC25:CX25">CC23+CC24</f>
        <v>0</v>
      </c>
      <c r="CD25" s="92">
        <f t="shared" si="51"/>
        <v>0</v>
      </c>
      <c r="CE25" s="92">
        <f t="shared" si="51"/>
        <v>0</v>
      </c>
      <c r="CF25" s="92">
        <f t="shared" si="51"/>
        <v>0</v>
      </c>
      <c r="CG25" s="92">
        <f t="shared" si="51"/>
        <v>0</v>
      </c>
      <c r="CH25" s="92">
        <f t="shared" si="51"/>
        <v>0</v>
      </c>
      <c r="CI25" s="92">
        <f t="shared" si="51"/>
        <v>0</v>
      </c>
      <c r="CJ25" s="92">
        <f t="shared" si="51"/>
        <v>0</v>
      </c>
      <c r="CK25" s="92">
        <f t="shared" si="51"/>
        <v>0</v>
      </c>
      <c r="CL25" s="92">
        <f t="shared" si="51"/>
        <v>0</v>
      </c>
      <c r="CM25" s="92">
        <f t="shared" si="51"/>
        <v>0</v>
      </c>
      <c r="CN25" s="92">
        <f t="shared" si="51"/>
        <v>0</v>
      </c>
      <c r="CO25" s="92">
        <f t="shared" si="51"/>
        <v>0</v>
      </c>
      <c r="CP25" s="92">
        <f t="shared" si="51"/>
        <v>0</v>
      </c>
      <c r="CQ25" s="92">
        <f t="shared" si="51"/>
        <v>15000</v>
      </c>
      <c r="CR25" s="92">
        <f t="shared" si="51"/>
        <v>14000</v>
      </c>
      <c r="CS25" s="92">
        <f t="shared" si="51"/>
        <v>14000</v>
      </c>
      <c r="CT25" s="92">
        <f t="shared" si="51"/>
        <v>43000</v>
      </c>
      <c r="CU25" s="92">
        <f t="shared" si="51"/>
        <v>15000</v>
      </c>
      <c r="CV25" s="92">
        <f t="shared" si="51"/>
        <v>15000</v>
      </c>
      <c r="CW25" s="92">
        <f t="shared" si="51"/>
        <v>61190</v>
      </c>
      <c r="CX25" s="454">
        <f t="shared" si="51"/>
        <v>20081.710000000003</v>
      </c>
      <c r="CY25" s="253">
        <f>AD25-CT25</f>
        <v>-43000</v>
      </c>
      <c r="CZ25" s="381">
        <f>CZ23+CZ24</f>
        <v>6600.75</v>
      </c>
      <c r="DA25" s="412"/>
      <c r="DB25" s="478">
        <f>BP25/12</f>
        <v>6455.805833333333</v>
      </c>
      <c r="DD25" s="353">
        <f>SUM(DD23:DD24)</f>
        <v>65340</v>
      </c>
      <c r="DE25" s="656">
        <f>SUM(DE23:DE24)</f>
        <v>-6600.75</v>
      </c>
    </row>
    <row r="26" spans="1:109" s="1" customFormat="1" ht="18" customHeight="1">
      <c r="A26" s="688" t="s">
        <v>31</v>
      </c>
      <c r="B26" s="5" t="s">
        <v>0</v>
      </c>
      <c r="C26" s="366"/>
      <c r="D26" s="178"/>
      <c r="E26" s="99">
        <v>24197.57</v>
      </c>
      <c r="F26" s="100">
        <v>0</v>
      </c>
      <c r="G26" s="101">
        <v>0</v>
      </c>
      <c r="H26" s="220">
        <v>25460</v>
      </c>
      <c r="I26" s="420"/>
      <c r="J26" s="323">
        <v>3000</v>
      </c>
      <c r="K26" s="323">
        <v>2000</v>
      </c>
      <c r="L26" s="323">
        <v>2000</v>
      </c>
      <c r="M26" s="323">
        <v>5000</v>
      </c>
      <c r="N26" s="283">
        <v>2016.4641666666669</v>
      </c>
      <c r="O26" s="58">
        <v>-1262.43</v>
      </c>
      <c r="P26" s="339"/>
      <c r="Q26" s="503">
        <v>3000</v>
      </c>
      <c r="R26" s="511">
        <f>5810+1700</f>
        <v>7510</v>
      </c>
      <c r="S26" s="632">
        <f>J26+K26+L26+M26+Q26+R26+6770</f>
        <v>29280</v>
      </c>
      <c r="T26" s="261">
        <v>2202.54</v>
      </c>
      <c r="U26" s="45"/>
      <c r="V26" s="47"/>
      <c r="W26" s="44">
        <v>2663.65</v>
      </c>
      <c r="X26" s="45"/>
      <c r="Y26" s="47"/>
      <c r="Z26" s="44">
        <v>2217.98</v>
      </c>
      <c r="AA26" s="45"/>
      <c r="AB26" s="47"/>
      <c r="AC26" s="90">
        <f aca="true" t="shared" si="52" ref="AC26:AE33">T26+W26+Z26</f>
        <v>7084.17</v>
      </c>
      <c r="AD26" s="91">
        <f t="shared" si="52"/>
        <v>0</v>
      </c>
      <c r="AE26" s="36">
        <f t="shared" si="52"/>
        <v>0</v>
      </c>
      <c r="AF26" s="44">
        <v>1777.48</v>
      </c>
      <c r="AG26" s="46">
        <v>0</v>
      </c>
      <c r="AH26" s="21">
        <v>0</v>
      </c>
      <c r="AI26" s="44">
        <v>3114.45</v>
      </c>
      <c r="AJ26" s="46"/>
      <c r="AK26" s="47"/>
      <c r="AL26" s="44">
        <v>1336.97</v>
      </c>
      <c r="AM26" s="46"/>
      <c r="AN26" s="109"/>
      <c r="AO26" s="90">
        <f aca="true" t="shared" si="53" ref="AO26:AQ33">AF26+AI26+AL26</f>
        <v>6228.900000000001</v>
      </c>
      <c r="AP26" s="91">
        <f t="shared" si="53"/>
        <v>0</v>
      </c>
      <c r="AQ26" s="131">
        <f t="shared" si="53"/>
        <v>0</v>
      </c>
      <c r="AR26" s="44">
        <v>1331.82</v>
      </c>
      <c r="AS26" s="46"/>
      <c r="AT26" s="21"/>
      <c r="AU26" s="44">
        <v>2228.29</v>
      </c>
      <c r="AV26" s="46"/>
      <c r="AW26" s="21"/>
      <c r="AX26" s="44">
        <v>4902.25</v>
      </c>
      <c r="AY26" s="47"/>
      <c r="AZ26" s="272"/>
      <c r="BA26" s="44">
        <f aca="true" t="shared" si="54" ref="BA26:BC33">AR26+AU26+AX26</f>
        <v>8462.36</v>
      </c>
      <c r="BB26" s="45">
        <f t="shared" si="54"/>
        <v>0</v>
      </c>
      <c r="BC26" s="46">
        <f t="shared" si="54"/>
        <v>0</v>
      </c>
      <c r="BD26" s="45">
        <v>2223.15</v>
      </c>
      <c r="BE26" s="46"/>
      <c r="BF26" s="109"/>
      <c r="BG26" s="44">
        <v>2223.14</v>
      </c>
      <c r="BH26" s="46"/>
      <c r="BI26" s="21"/>
      <c r="BJ26" s="261">
        <v>4000.62</v>
      </c>
      <c r="BK26" s="46"/>
      <c r="BL26" s="109"/>
      <c r="BM26" s="44">
        <f aca="true" t="shared" si="55" ref="BM26:BO33">BD26+BG26+BJ26</f>
        <v>8446.91</v>
      </c>
      <c r="BN26" s="45">
        <f t="shared" si="55"/>
        <v>0</v>
      </c>
      <c r="BO26" s="46">
        <f t="shared" si="55"/>
        <v>0</v>
      </c>
      <c r="BP26" s="90">
        <f aca="true" t="shared" si="56" ref="BP26:BR29">AC26+AO26+BA26+BM26</f>
        <v>30222.34</v>
      </c>
      <c r="BQ26" s="91">
        <f t="shared" si="56"/>
        <v>0</v>
      </c>
      <c r="BR26" s="453">
        <f t="shared" si="56"/>
        <v>0</v>
      </c>
      <c r="BS26" s="271"/>
      <c r="BT26" s="154"/>
      <c r="BU26" s="155"/>
      <c r="BV26" s="153"/>
      <c r="BW26" s="154"/>
      <c r="BX26" s="159"/>
      <c r="BY26" s="139"/>
      <c r="BZ26" s="91"/>
      <c r="CA26" s="131"/>
      <c r="CB26" s="90">
        <f aca="true" t="shared" si="57" ref="CB26:CD33">BS26+BV26+BY26</f>
        <v>0</v>
      </c>
      <c r="CC26" s="91">
        <f t="shared" si="57"/>
        <v>0</v>
      </c>
      <c r="CD26" s="36">
        <f t="shared" si="57"/>
        <v>0</v>
      </c>
      <c r="CE26" s="90"/>
      <c r="CF26" s="91"/>
      <c r="CG26" s="131"/>
      <c r="CH26" s="90"/>
      <c r="CI26" s="91"/>
      <c r="CJ26" s="36"/>
      <c r="CK26" s="90"/>
      <c r="CL26" s="91"/>
      <c r="CM26" s="36"/>
      <c r="CN26" s="99">
        <f aca="true" t="shared" si="58" ref="CN26:CP33">CE26+CH26+CK26</f>
        <v>0</v>
      </c>
      <c r="CO26" s="100">
        <f t="shared" si="58"/>
        <v>0</v>
      </c>
      <c r="CP26" s="101">
        <f t="shared" si="58"/>
        <v>0</v>
      </c>
      <c r="CQ26" s="392">
        <v>3000</v>
      </c>
      <c r="CR26" s="392">
        <v>3000</v>
      </c>
      <c r="CS26" s="390">
        <v>3000</v>
      </c>
      <c r="CT26" s="391">
        <f aca="true" t="shared" si="59" ref="CT26:CT33">CQ26+CR26+CS26</f>
        <v>9000</v>
      </c>
      <c r="CU26" s="390">
        <v>3000</v>
      </c>
      <c r="CV26" s="390">
        <v>3000</v>
      </c>
      <c r="CW26" s="390">
        <v>10460</v>
      </c>
      <c r="CX26" s="464"/>
      <c r="CY26" s="251"/>
      <c r="CZ26" s="290"/>
      <c r="DA26" s="407">
        <f>S26-BP26</f>
        <v>-942.3400000000001</v>
      </c>
      <c r="DB26" s="477">
        <f>BP26/12</f>
        <v>2518.528333333333</v>
      </c>
      <c r="DD26" s="484">
        <v>20810</v>
      </c>
      <c r="DE26" s="664">
        <f>BP26-S26</f>
        <v>942.3400000000001</v>
      </c>
    </row>
    <row r="27" spans="1:109" s="1" customFormat="1" ht="18" customHeight="1">
      <c r="A27" s="689"/>
      <c r="B27" s="630" t="s">
        <v>109</v>
      </c>
      <c r="C27" s="371">
        <v>4291.13</v>
      </c>
      <c r="D27" s="178"/>
      <c r="E27" s="90">
        <v>146471.8</v>
      </c>
      <c r="F27" s="91">
        <v>150762.93</v>
      </c>
      <c r="G27" s="36">
        <v>19950.92</v>
      </c>
      <c r="H27" s="220">
        <v>152000</v>
      </c>
      <c r="I27" s="251"/>
      <c r="J27" s="320">
        <v>13000</v>
      </c>
      <c r="K27" s="320">
        <v>13000</v>
      </c>
      <c r="L27" s="320">
        <v>20000</v>
      </c>
      <c r="M27" s="320">
        <v>0</v>
      </c>
      <c r="N27" s="283">
        <v>16274.644444444442</v>
      </c>
      <c r="O27" s="47">
        <v>-1237.070000000007</v>
      </c>
      <c r="P27" s="272"/>
      <c r="Q27" s="503"/>
      <c r="R27" s="513">
        <f>151470+90270</f>
        <v>241740</v>
      </c>
      <c r="S27" s="633">
        <f>J27+K27+L27+M27+Q27+R27</f>
        <v>287740</v>
      </c>
      <c r="T27" s="261"/>
      <c r="U27" s="45">
        <v>12873.4</v>
      </c>
      <c r="V27" s="47"/>
      <c r="W27" s="44"/>
      <c r="X27" s="45"/>
      <c r="Y27" s="47"/>
      <c r="Z27" s="44">
        <v>42911.34</v>
      </c>
      <c r="AA27" s="45">
        <v>30037.94</v>
      </c>
      <c r="AB27" s="47"/>
      <c r="AC27" s="90">
        <f t="shared" si="52"/>
        <v>42911.34</v>
      </c>
      <c r="AD27" s="91">
        <f t="shared" si="52"/>
        <v>42911.34</v>
      </c>
      <c r="AE27" s="36">
        <f t="shared" si="52"/>
        <v>0</v>
      </c>
      <c r="AF27" s="44">
        <v>0</v>
      </c>
      <c r="AG27" s="46">
        <v>0</v>
      </c>
      <c r="AH27" s="21">
        <f>47202.47+12873.4</f>
        <v>60075.87</v>
      </c>
      <c r="AI27" s="44">
        <v>0</v>
      </c>
      <c r="AJ27" s="46"/>
      <c r="AK27" s="47"/>
      <c r="AL27" s="44"/>
      <c r="AM27" s="46"/>
      <c r="AN27" s="109">
        <v>30037.94</v>
      </c>
      <c r="AO27" s="90">
        <f t="shared" si="53"/>
        <v>0</v>
      </c>
      <c r="AP27" s="91">
        <f t="shared" si="53"/>
        <v>0</v>
      </c>
      <c r="AQ27" s="131">
        <f t="shared" si="53"/>
        <v>90113.81</v>
      </c>
      <c r="AR27" s="44">
        <v>0</v>
      </c>
      <c r="AS27" s="46">
        <v>42911.34</v>
      </c>
      <c r="AT27" s="21"/>
      <c r="AU27" s="44">
        <v>0</v>
      </c>
      <c r="AV27" s="46"/>
      <c r="AW27" s="21"/>
      <c r="AX27" s="44">
        <v>42911.34</v>
      </c>
      <c r="AY27" s="47">
        <v>64367.01</v>
      </c>
      <c r="AZ27" s="272"/>
      <c r="BA27" s="44">
        <f t="shared" si="54"/>
        <v>42911.34</v>
      </c>
      <c r="BB27" s="45">
        <f t="shared" si="54"/>
        <v>107278.35</v>
      </c>
      <c r="BC27" s="46">
        <f t="shared" si="54"/>
        <v>0</v>
      </c>
      <c r="BD27" s="45">
        <v>21455.67</v>
      </c>
      <c r="BE27" s="46"/>
      <c r="BF27" s="109">
        <v>42911.34</v>
      </c>
      <c r="BG27" s="44">
        <v>42911.34</v>
      </c>
      <c r="BH27" s="46"/>
      <c r="BI27" s="21"/>
      <c r="BJ27" s="261">
        <v>0</v>
      </c>
      <c r="BK27" s="46"/>
      <c r="BL27" s="109">
        <v>64367.01</v>
      </c>
      <c r="BM27" s="44">
        <f t="shared" si="55"/>
        <v>64367.009999999995</v>
      </c>
      <c r="BN27" s="45">
        <f t="shared" si="55"/>
        <v>0</v>
      </c>
      <c r="BO27" s="46">
        <f t="shared" si="55"/>
        <v>107278.35</v>
      </c>
      <c r="BP27" s="90">
        <f t="shared" si="56"/>
        <v>150189.69</v>
      </c>
      <c r="BQ27" s="91">
        <f t="shared" si="56"/>
        <v>150189.69</v>
      </c>
      <c r="BR27" s="453">
        <f t="shared" si="56"/>
        <v>197392.16</v>
      </c>
      <c r="BS27" s="271"/>
      <c r="BT27" s="154"/>
      <c r="BU27" s="155"/>
      <c r="BV27" s="153"/>
      <c r="BW27" s="154"/>
      <c r="BX27" s="159"/>
      <c r="BY27" s="139"/>
      <c r="BZ27" s="91"/>
      <c r="CA27" s="131"/>
      <c r="CB27" s="90">
        <f t="shared" si="57"/>
        <v>0</v>
      </c>
      <c r="CC27" s="91">
        <f t="shared" si="57"/>
        <v>0</v>
      </c>
      <c r="CD27" s="36">
        <f t="shared" si="57"/>
        <v>0</v>
      </c>
      <c r="CE27" s="90"/>
      <c r="CF27" s="91"/>
      <c r="CG27" s="131"/>
      <c r="CH27" s="90"/>
      <c r="CI27" s="91"/>
      <c r="CJ27" s="36"/>
      <c r="CK27" s="90"/>
      <c r="CL27" s="91"/>
      <c r="CM27" s="36"/>
      <c r="CN27" s="99">
        <f t="shared" si="58"/>
        <v>0</v>
      </c>
      <c r="CO27" s="100">
        <f t="shared" si="58"/>
        <v>0</v>
      </c>
      <c r="CP27" s="101">
        <f t="shared" si="58"/>
        <v>0</v>
      </c>
      <c r="CQ27" s="392"/>
      <c r="CR27" s="392"/>
      <c r="CS27" s="390"/>
      <c r="CT27" s="391">
        <f t="shared" si="59"/>
        <v>0</v>
      </c>
      <c r="CU27" s="390">
        <v>20000</v>
      </c>
      <c r="CV27" s="390">
        <v>20000</v>
      </c>
      <c r="CW27" s="390">
        <v>112000</v>
      </c>
      <c r="CX27" s="464">
        <f>C27+BQ27-BP27</f>
        <v>4291.130000000005</v>
      </c>
      <c r="CY27" s="251"/>
      <c r="CZ27" s="292">
        <f>S27-BQ27</f>
        <v>137550.31</v>
      </c>
      <c r="DA27" s="408"/>
      <c r="DB27" s="283">
        <f>BP27/12</f>
        <v>12515.8075</v>
      </c>
      <c r="DD27" s="484">
        <v>135000</v>
      </c>
      <c r="DE27" s="658">
        <f>BQ27-S27</f>
        <v>-137550.31</v>
      </c>
    </row>
    <row r="28" spans="1:109" s="1" customFormat="1" ht="19.5" customHeight="1">
      <c r="A28" s="689"/>
      <c r="B28" s="631" t="s">
        <v>29</v>
      </c>
      <c r="C28" s="370">
        <v>97533.2</v>
      </c>
      <c r="D28" s="65"/>
      <c r="E28" s="90">
        <v>1183832.75</v>
      </c>
      <c r="F28" s="91">
        <v>779165.66</v>
      </c>
      <c r="G28" s="36">
        <v>666614.2</v>
      </c>
      <c r="H28" s="220">
        <v>795530</v>
      </c>
      <c r="I28" s="251"/>
      <c r="J28" s="320">
        <v>98000</v>
      </c>
      <c r="K28" s="320">
        <v>98000</v>
      </c>
      <c r="L28" s="320">
        <v>98000</v>
      </c>
      <c r="M28" s="320">
        <v>195000</v>
      </c>
      <c r="N28" s="283">
        <v>98652.72916666667</v>
      </c>
      <c r="O28" s="47">
        <v>-16364.340000000084</v>
      </c>
      <c r="P28" s="272"/>
      <c r="Q28" s="503">
        <f>97000-800</f>
        <v>96200</v>
      </c>
      <c r="R28" s="513">
        <v>0</v>
      </c>
      <c r="S28" s="633">
        <f>J28+K28+L28+M28+Q28+R28</f>
        <v>585200</v>
      </c>
      <c r="T28" s="261">
        <v>97533.2</v>
      </c>
      <c r="U28" s="45"/>
      <c r="V28" s="47">
        <v>165994.5</v>
      </c>
      <c r="W28" s="44">
        <v>97533.2</v>
      </c>
      <c r="X28" s="45">
        <v>97533.2</v>
      </c>
      <c r="Y28" s="47">
        <v>126599.76</v>
      </c>
      <c r="Z28" s="44">
        <v>121916.5</v>
      </c>
      <c r="AA28" s="45">
        <v>195066.4</v>
      </c>
      <c r="AB28" s="47"/>
      <c r="AC28" s="90">
        <f t="shared" si="52"/>
        <v>316982.9</v>
      </c>
      <c r="AD28" s="91">
        <f t="shared" si="52"/>
        <v>292599.6</v>
      </c>
      <c r="AE28" s="36">
        <f t="shared" si="52"/>
        <v>292594.26</v>
      </c>
      <c r="AF28" s="44">
        <v>24383.3</v>
      </c>
      <c r="AG28" s="46">
        <v>0</v>
      </c>
      <c r="AH28" s="21">
        <v>0</v>
      </c>
      <c r="AI28" s="44">
        <v>0</v>
      </c>
      <c r="AJ28" s="46">
        <v>195066.4</v>
      </c>
      <c r="AK28" s="47">
        <v>97533.2</v>
      </c>
      <c r="AL28" s="44"/>
      <c r="AM28" s="46">
        <v>97533.2</v>
      </c>
      <c r="AN28" s="109">
        <v>195066.4</v>
      </c>
      <c r="AO28" s="90">
        <f t="shared" si="53"/>
        <v>24383.3</v>
      </c>
      <c r="AP28" s="91">
        <f t="shared" si="53"/>
        <v>292599.6</v>
      </c>
      <c r="AQ28" s="131">
        <f t="shared" si="53"/>
        <v>292599.6</v>
      </c>
      <c r="AR28" s="44">
        <v>0</v>
      </c>
      <c r="AS28" s="46"/>
      <c r="AT28" s="21"/>
      <c r="AU28" s="44">
        <v>0</v>
      </c>
      <c r="AV28" s="46"/>
      <c r="AW28" s="21">
        <v>195066.4</v>
      </c>
      <c r="AX28" s="44"/>
      <c r="AY28" s="47"/>
      <c r="AZ28" s="272">
        <v>97533.2</v>
      </c>
      <c r="BA28" s="44">
        <f t="shared" si="54"/>
        <v>0</v>
      </c>
      <c r="BB28" s="45">
        <f t="shared" si="54"/>
        <v>0</v>
      </c>
      <c r="BC28" s="46">
        <f t="shared" si="54"/>
        <v>292599.6</v>
      </c>
      <c r="BD28" s="45"/>
      <c r="BE28" s="46"/>
      <c r="BF28" s="109"/>
      <c r="BG28" s="44">
        <v>0</v>
      </c>
      <c r="BH28" s="46"/>
      <c r="BI28" s="21"/>
      <c r="BJ28" s="261">
        <v>0</v>
      </c>
      <c r="BK28" s="46"/>
      <c r="BL28" s="109"/>
      <c r="BM28" s="44">
        <f t="shared" si="55"/>
        <v>0</v>
      </c>
      <c r="BN28" s="45">
        <f t="shared" si="55"/>
        <v>0</v>
      </c>
      <c r="BO28" s="46">
        <f t="shared" si="55"/>
        <v>0</v>
      </c>
      <c r="BP28" s="90">
        <f t="shared" si="56"/>
        <v>341366.2</v>
      </c>
      <c r="BQ28" s="91">
        <f t="shared" si="56"/>
        <v>585199.2</v>
      </c>
      <c r="BR28" s="453">
        <f t="shared" si="56"/>
        <v>877793.46</v>
      </c>
      <c r="BS28" s="271"/>
      <c r="BT28" s="154"/>
      <c r="BU28" s="155"/>
      <c r="BV28" s="153"/>
      <c r="BW28" s="154"/>
      <c r="BX28" s="159"/>
      <c r="BY28" s="139"/>
      <c r="BZ28" s="91"/>
      <c r="CA28" s="131"/>
      <c r="CB28" s="90">
        <f t="shared" si="57"/>
        <v>0</v>
      </c>
      <c r="CC28" s="91">
        <f t="shared" si="57"/>
        <v>0</v>
      </c>
      <c r="CD28" s="36">
        <f t="shared" si="57"/>
        <v>0</v>
      </c>
      <c r="CE28" s="90"/>
      <c r="CF28" s="91"/>
      <c r="CG28" s="131"/>
      <c r="CH28" s="90"/>
      <c r="CI28" s="91"/>
      <c r="CJ28" s="36"/>
      <c r="CK28" s="90"/>
      <c r="CL28" s="91"/>
      <c r="CM28" s="36"/>
      <c r="CN28" s="99">
        <f t="shared" si="58"/>
        <v>0</v>
      </c>
      <c r="CO28" s="100">
        <f t="shared" si="58"/>
        <v>0</v>
      </c>
      <c r="CP28" s="101">
        <f t="shared" si="58"/>
        <v>0</v>
      </c>
      <c r="CQ28" s="392">
        <v>120000</v>
      </c>
      <c r="CR28" s="392">
        <v>120000</v>
      </c>
      <c r="CS28" s="390">
        <v>120000</v>
      </c>
      <c r="CT28" s="391">
        <f t="shared" si="59"/>
        <v>360000</v>
      </c>
      <c r="CU28" s="390">
        <v>100000</v>
      </c>
      <c r="CV28" s="390">
        <v>100000</v>
      </c>
      <c r="CW28" s="390">
        <v>358000</v>
      </c>
      <c r="CX28" s="464">
        <f>C28+BQ28-BP28-341366.2</f>
        <v>0</v>
      </c>
      <c r="CY28" s="251"/>
      <c r="CZ28" s="292">
        <f>S28-BQ28</f>
        <v>0.8000000000465661</v>
      </c>
      <c r="DA28" s="408"/>
      <c r="DB28" s="283">
        <f>BP28/5</f>
        <v>68273.24</v>
      </c>
      <c r="DD28" s="484">
        <v>585199.2</v>
      </c>
      <c r="DE28" s="658">
        <f>BQ28-S28</f>
        <v>-0.8000000000465661</v>
      </c>
    </row>
    <row r="29" spans="1:109" s="1" customFormat="1" ht="15.75" customHeight="1">
      <c r="A29" s="689"/>
      <c r="B29" s="16" t="s">
        <v>30</v>
      </c>
      <c r="C29" s="370"/>
      <c r="D29" s="65"/>
      <c r="E29" s="90">
        <v>19545.67</v>
      </c>
      <c r="F29" s="91">
        <v>0</v>
      </c>
      <c r="G29" s="36">
        <v>0</v>
      </c>
      <c r="H29" s="220">
        <v>30000</v>
      </c>
      <c r="I29" s="251"/>
      <c r="J29" s="320">
        <v>3000</v>
      </c>
      <c r="K29" s="320">
        <v>2000</v>
      </c>
      <c r="L29" s="320">
        <v>2000</v>
      </c>
      <c r="M29" s="320">
        <v>1000</v>
      </c>
      <c r="N29" s="283">
        <v>1628.8058333333329</v>
      </c>
      <c r="O29" s="47">
        <v>-10454.33</v>
      </c>
      <c r="P29" s="272"/>
      <c r="Q29" s="503">
        <v>1000</v>
      </c>
      <c r="R29" s="513">
        <f>2620+3450</f>
        <v>6070</v>
      </c>
      <c r="S29" s="633">
        <f>J29+K29+L29+M29+Q29+R29-1000</f>
        <v>14070</v>
      </c>
      <c r="T29" s="261">
        <v>2945.2</v>
      </c>
      <c r="U29" s="45"/>
      <c r="V29" s="47"/>
      <c r="W29" s="44"/>
      <c r="X29" s="45"/>
      <c r="Y29" s="47"/>
      <c r="Z29" s="44">
        <v>0</v>
      </c>
      <c r="AA29" s="45"/>
      <c r="AB29" s="47"/>
      <c r="AC29" s="90">
        <f t="shared" si="52"/>
        <v>2945.2</v>
      </c>
      <c r="AD29" s="91">
        <f t="shared" si="52"/>
        <v>0</v>
      </c>
      <c r="AE29" s="36">
        <f t="shared" si="52"/>
        <v>0</v>
      </c>
      <c r="AF29" s="44">
        <v>2945.2</v>
      </c>
      <c r="AG29" s="46">
        <v>0</v>
      </c>
      <c r="AH29" s="21">
        <v>0</v>
      </c>
      <c r="AI29" s="44"/>
      <c r="AJ29" s="46"/>
      <c r="AK29" s="47"/>
      <c r="AL29" s="44">
        <v>3681.5</v>
      </c>
      <c r="AM29" s="46"/>
      <c r="AN29" s="109"/>
      <c r="AO29" s="90">
        <f t="shared" si="53"/>
        <v>6626.7</v>
      </c>
      <c r="AP29" s="91">
        <f t="shared" si="53"/>
        <v>0</v>
      </c>
      <c r="AQ29" s="131">
        <f t="shared" si="53"/>
        <v>0</v>
      </c>
      <c r="AR29" s="44">
        <v>0</v>
      </c>
      <c r="AS29" s="46"/>
      <c r="AT29" s="21"/>
      <c r="AU29" s="44">
        <v>0</v>
      </c>
      <c r="AV29" s="46"/>
      <c r="AW29" s="21"/>
      <c r="AX29" s="44"/>
      <c r="AY29" s="47"/>
      <c r="AZ29" s="272"/>
      <c r="BA29" s="44">
        <f t="shared" si="54"/>
        <v>0</v>
      </c>
      <c r="BB29" s="45">
        <f t="shared" si="54"/>
        <v>0</v>
      </c>
      <c r="BC29" s="46">
        <f t="shared" si="54"/>
        <v>0</v>
      </c>
      <c r="BD29" s="45">
        <v>3986</v>
      </c>
      <c r="BE29" s="46"/>
      <c r="BF29" s="109"/>
      <c r="BG29" s="44">
        <v>0</v>
      </c>
      <c r="BH29" s="46"/>
      <c r="BI29" s="21"/>
      <c r="BJ29" s="261">
        <v>2391.6</v>
      </c>
      <c r="BK29" s="46"/>
      <c r="BL29" s="109"/>
      <c r="BM29" s="44">
        <f t="shared" si="55"/>
        <v>6377.6</v>
      </c>
      <c r="BN29" s="45">
        <f t="shared" si="55"/>
        <v>0</v>
      </c>
      <c r="BO29" s="46">
        <f t="shared" si="55"/>
        <v>0</v>
      </c>
      <c r="BP29" s="90">
        <f t="shared" si="56"/>
        <v>15949.5</v>
      </c>
      <c r="BQ29" s="91">
        <f t="shared" si="56"/>
        <v>0</v>
      </c>
      <c r="BR29" s="453">
        <f t="shared" si="56"/>
        <v>0</v>
      </c>
      <c r="BS29" s="271"/>
      <c r="BT29" s="154"/>
      <c r="BU29" s="155"/>
      <c r="BV29" s="153"/>
      <c r="BW29" s="154"/>
      <c r="BX29" s="159"/>
      <c r="BY29" s="139"/>
      <c r="BZ29" s="91"/>
      <c r="CA29" s="131"/>
      <c r="CB29" s="90">
        <f t="shared" si="57"/>
        <v>0</v>
      </c>
      <c r="CC29" s="91">
        <f t="shared" si="57"/>
        <v>0</v>
      </c>
      <c r="CD29" s="36">
        <f t="shared" si="57"/>
        <v>0</v>
      </c>
      <c r="CE29" s="90"/>
      <c r="CF29" s="91"/>
      <c r="CG29" s="131"/>
      <c r="CH29" s="90"/>
      <c r="CI29" s="91"/>
      <c r="CJ29" s="36"/>
      <c r="CK29" s="90"/>
      <c r="CL29" s="91"/>
      <c r="CM29" s="36"/>
      <c r="CN29" s="99">
        <f t="shared" si="58"/>
        <v>0</v>
      </c>
      <c r="CO29" s="100">
        <f t="shared" si="58"/>
        <v>0</v>
      </c>
      <c r="CP29" s="101">
        <f t="shared" si="58"/>
        <v>0</v>
      </c>
      <c r="CQ29" s="392">
        <v>5000</v>
      </c>
      <c r="CR29" s="392">
        <v>8000</v>
      </c>
      <c r="CS29" s="390">
        <v>9000</v>
      </c>
      <c r="CT29" s="391">
        <f t="shared" si="59"/>
        <v>22000</v>
      </c>
      <c r="CU29" s="390">
        <v>7000</v>
      </c>
      <c r="CV29" s="390">
        <v>4000</v>
      </c>
      <c r="CW29" s="390"/>
      <c r="CX29" s="464"/>
      <c r="CY29" s="251"/>
      <c r="CZ29" s="289"/>
      <c r="DA29" s="408">
        <f>S29-BP29</f>
        <v>-1879.5</v>
      </c>
      <c r="DB29" s="283">
        <f aca="true" t="shared" si="60" ref="DB29:DB34">BP29/12</f>
        <v>1329.125</v>
      </c>
      <c r="DD29" s="484">
        <v>11620</v>
      </c>
      <c r="DE29" s="435">
        <f>BP29-S29</f>
        <v>1879.5</v>
      </c>
    </row>
    <row r="30" spans="1:109" s="1" customFormat="1" ht="18.75" customHeight="1">
      <c r="A30" s="689"/>
      <c r="B30" s="16" t="s">
        <v>39</v>
      </c>
      <c r="C30" s="370"/>
      <c r="D30" s="65"/>
      <c r="E30" s="90">
        <v>2170845.65</v>
      </c>
      <c r="F30" s="91">
        <v>0</v>
      </c>
      <c r="G30" s="36">
        <v>0</v>
      </c>
      <c r="H30" s="220">
        <v>2113000</v>
      </c>
      <c r="I30" s="251"/>
      <c r="J30" s="320">
        <v>195000</v>
      </c>
      <c r="K30" s="320">
        <v>195000</v>
      </c>
      <c r="L30" s="320">
        <v>195000</v>
      </c>
      <c r="M30" s="320">
        <v>350000</v>
      </c>
      <c r="N30" s="283">
        <v>180903.8041666667</v>
      </c>
      <c r="O30" s="435">
        <v>57850</v>
      </c>
      <c r="P30" s="255"/>
      <c r="Q30" s="354">
        <f>175000+57000</f>
        <v>232000</v>
      </c>
      <c r="R30" s="496">
        <f>524870+439050</f>
        <v>963920</v>
      </c>
      <c r="S30" s="633">
        <f>J30+K30+L30+M30+Q30+R30+57850+202800</f>
        <v>2391570</v>
      </c>
      <c r="T30" s="261">
        <v>194468.56</v>
      </c>
      <c r="U30" s="45"/>
      <c r="V30" s="47"/>
      <c r="W30" s="44">
        <v>194468.56</v>
      </c>
      <c r="X30" s="45"/>
      <c r="Y30" s="47"/>
      <c r="Z30" s="44">
        <v>194468.56</v>
      </c>
      <c r="AA30" s="45"/>
      <c r="AB30" s="47"/>
      <c r="AC30" s="90">
        <f t="shared" si="52"/>
        <v>583405.6799999999</v>
      </c>
      <c r="AD30" s="91">
        <f t="shared" si="52"/>
        <v>0</v>
      </c>
      <c r="AE30" s="36">
        <f t="shared" si="52"/>
        <v>0</v>
      </c>
      <c r="AF30" s="44">
        <v>194468.56</v>
      </c>
      <c r="AG30" s="46">
        <v>0</v>
      </c>
      <c r="AH30" s="21">
        <v>0</v>
      </c>
      <c r="AI30" s="44">
        <v>194468.56</v>
      </c>
      <c r="AJ30" s="46"/>
      <c r="AK30" s="47"/>
      <c r="AL30" s="44">
        <v>194468.56</v>
      </c>
      <c r="AM30" s="46"/>
      <c r="AN30" s="109"/>
      <c r="AO30" s="90">
        <f t="shared" si="53"/>
        <v>583405.6799999999</v>
      </c>
      <c r="AP30" s="91">
        <f t="shared" si="53"/>
        <v>0</v>
      </c>
      <c r="AQ30" s="131">
        <f t="shared" si="53"/>
        <v>0</v>
      </c>
      <c r="AR30" s="44">
        <v>194468.56</v>
      </c>
      <c r="AS30" s="46"/>
      <c r="AT30" s="21"/>
      <c r="AU30" s="44">
        <v>194468.56</v>
      </c>
      <c r="AV30" s="46"/>
      <c r="AW30" s="21"/>
      <c r="AX30" s="44">
        <v>194468.56</v>
      </c>
      <c r="AY30" s="47"/>
      <c r="AZ30" s="272"/>
      <c r="BA30" s="44">
        <f t="shared" si="54"/>
        <v>583405.6799999999</v>
      </c>
      <c r="BB30" s="45">
        <f t="shared" si="54"/>
        <v>0</v>
      </c>
      <c r="BC30" s="46">
        <f t="shared" si="54"/>
        <v>0</v>
      </c>
      <c r="BD30" s="45">
        <v>194468.56</v>
      </c>
      <c r="BE30" s="46"/>
      <c r="BF30" s="109"/>
      <c r="BG30" s="44">
        <v>194468.56</v>
      </c>
      <c r="BH30" s="46"/>
      <c r="BI30" s="21"/>
      <c r="BJ30" s="261">
        <v>194468.56</v>
      </c>
      <c r="BK30" s="46"/>
      <c r="BL30" s="109"/>
      <c r="BM30" s="44">
        <f t="shared" si="55"/>
        <v>583405.6799999999</v>
      </c>
      <c r="BN30" s="45">
        <f t="shared" si="55"/>
        <v>0</v>
      </c>
      <c r="BO30" s="46">
        <f t="shared" si="55"/>
        <v>0</v>
      </c>
      <c r="BP30" s="90">
        <f>AC30+AO30+BA30+BM30+O30</f>
        <v>2391472.7199999997</v>
      </c>
      <c r="BQ30" s="91">
        <f aca="true" t="shared" si="61" ref="BQ30:BR33">AD30+AP30+BB30+BN30</f>
        <v>0</v>
      </c>
      <c r="BR30" s="453">
        <f t="shared" si="61"/>
        <v>0</v>
      </c>
      <c r="BS30" s="271"/>
      <c r="BT30" s="154"/>
      <c r="BU30" s="155"/>
      <c r="BV30" s="153"/>
      <c r="BW30" s="154"/>
      <c r="BX30" s="159"/>
      <c r="BY30" s="139"/>
      <c r="BZ30" s="91"/>
      <c r="CA30" s="131"/>
      <c r="CB30" s="90">
        <f t="shared" si="57"/>
        <v>0</v>
      </c>
      <c r="CC30" s="91">
        <f t="shared" si="57"/>
        <v>0</v>
      </c>
      <c r="CD30" s="36">
        <f t="shared" si="57"/>
        <v>0</v>
      </c>
      <c r="CE30" s="90"/>
      <c r="CF30" s="91"/>
      <c r="CG30" s="131"/>
      <c r="CH30" s="90"/>
      <c r="CI30" s="91"/>
      <c r="CJ30" s="36"/>
      <c r="CK30" s="90"/>
      <c r="CL30" s="91"/>
      <c r="CM30" s="36"/>
      <c r="CN30" s="99">
        <f t="shared" si="58"/>
        <v>0</v>
      </c>
      <c r="CO30" s="100">
        <f t="shared" si="58"/>
        <v>0</v>
      </c>
      <c r="CP30" s="101">
        <f t="shared" si="58"/>
        <v>0</v>
      </c>
      <c r="CQ30" s="392">
        <v>198000</v>
      </c>
      <c r="CR30" s="392">
        <v>182000</v>
      </c>
      <c r="CS30" s="390">
        <v>182000</v>
      </c>
      <c r="CT30" s="391">
        <f t="shared" si="59"/>
        <v>562000</v>
      </c>
      <c r="CU30" s="390">
        <v>168000</v>
      </c>
      <c r="CV30" s="390">
        <v>168000</v>
      </c>
      <c r="CW30" s="390">
        <v>891210</v>
      </c>
      <c r="CX30" s="464"/>
      <c r="CY30" s="251"/>
      <c r="CZ30" s="289"/>
      <c r="DA30" s="408">
        <f>S30-BP30</f>
        <v>97.28000000026077</v>
      </c>
      <c r="DB30" s="283">
        <f t="shared" si="60"/>
        <v>199289.3933333333</v>
      </c>
      <c r="DD30" s="484">
        <v>1809720</v>
      </c>
      <c r="DE30" s="660">
        <f>BP30-S30</f>
        <v>-97.28000000026077</v>
      </c>
    </row>
    <row r="31" spans="1:109" s="1" customFormat="1" ht="15.75" customHeight="1">
      <c r="A31" s="689"/>
      <c r="B31" s="16" t="s">
        <v>79</v>
      </c>
      <c r="C31" s="370"/>
      <c r="D31" s="65"/>
      <c r="E31" s="90">
        <v>124289.52</v>
      </c>
      <c r="F31" s="91">
        <v>0</v>
      </c>
      <c r="G31" s="36">
        <v>0</v>
      </c>
      <c r="H31" s="220">
        <v>124300</v>
      </c>
      <c r="I31" s="251"/>
      <c r="J31" s="320">
        <v>11000</v>
      </c>
      <c r="K31" s="320">
        <v>11000</v>
      </c>
      <c r="L31" s="320">
        <v>11000</v>
      </c>
      <c r="M31" s="320">
        <v>20000</v>
      </c>
      <c r="N31" s="283">
        <v>10357.46</v>
      </c>
      <c r="O31" s="47">
        <v>-10.479999999995925</v>
      </c>
      <c r="P31" s="272"/>
      <c r="Q31" s="503">
        <v>10000</v>
      </c>
      <c r="R31" s="513">
        <f>26090+25060</f>
        <v>51150</v>
      </c>
      <c r="S31" s="633">
        <f>J31+K31+L31+M31+Q31+R31+10380</f>
        <v>124530</v>
      </c>
      <c r="T31" s="261">
        <v>10376.35</v>
      </c>
      <c r="U31" s="45"/>
      <c r="V31" s="47"/>
      <c r="W31" s="44">
        <v>10376.35</v>
      </c>
      <c r="X31" s="45"/>
      <c r="Y31" s="47"/>
      <c r="Z31" s="44">
        <v>10376.35</v>
      </c>
      <c r="AA31" s="45"/>
      <c r="AB31" s="47"/>
      <c r="AC31" s="90">
        <f t="shared" si="52"/>
        <v>31129.050000000003</v>
      </c>
      <c r="AD31" s="91">
        <f t="shared" si="52"/>
        <v>0</v>
      </c>
      <c r="AE31" s="36">
        <f t="shared" si="52"/>
        <v>0</v>
      </c>
      <c r="AF31" s="44">
        <v>10376.35</v>
      </c>
      <c r="AG31" s="46">
        <v>0</v>
      </c>
      <c r="AH31" s="21">
        <v>0</v>
      </c>
      <c r="AI31" s="44">
        <v>10376.35</v>
      </c>
      <c r="AJ31" s="46"/>
      <c r="AK31" s="47"/>
      <c r="AL31" s="44">
        <v>10376.35</v>
      </c>
      <c r="AM31" s="46"/>
      <c r="AN31" s="109"/>
      <c r="AO31" s="90">
        <f t="shared" si="53"/>
        <v>31129.050000000003</v>
      </c>
      <c r="AP31" s="91">
        <f t="shared" si="53"/>
        <v>0</v>
      </c>
      <c r="AQ31" s="131">
        <f t="shared" si="53"/>
        <v>0</v>
      </c>
      <c r="AR31" s="44">
        <v>10376.35</v>
      </c>
      <c r="AS31" s="46"/>
      <c r="AT31" s="21"/>
      <c r="AU31" s="44">
        <v>10376.35</v>
      </c>
      <c r="AV31" s="46"/>
      <c r="AW31" s="21"/>
      <c r="AX31" s="44">
        <v>10376.35</v>
      </c>
      <c r="AY31" s="47"/>
      <c r="AZ31" s="272"/>
      <c r="BA31" s="44">
        <f t="shared" si="54"/>
        <v>31129.050000000003</v>
      </c>
      <c r="BB31" s="45">
        <f t="shared" si="54"/>
        <v>0</v>
      </c>
      <c r="BC31" s="46">
        <f t="shared" si="54"/>
        <v>0</v>
      </c>
      <c r="BD31" s="45">
        <v>10376.35</v>
      </c>
      <c r="BE31" s="46"/>
      <c r="BF31" s="109"/>
      <c r="BG31" s="44">
        <v>10376.35</v>
      </c>
      <c r="BH31" s="46"/>
      <c r="BI31" s="21"/>
      <c r="BJ31" s="261">
        <v>10376.35</v>
      </c>
      <c r="BK31" s="46"/>
      <c r="BL31" s="109"/>
      <c r="BM31" s="44">
        <f t="shared" si="55"/>
        <v>31129.050000000003</v>
      </c>
      <c r="BN31" s="45">
        <f t="shared" si="55"/>
        <v>0</v>
      </c>
      <c r="BO31" s="46">
        <f t="shared" si="55"/>
        <v>0</v>
      </c>
      <c r="BP31" s="90">
        <f>AC31+AO31+BA31+BM31</f>
        <v>124516.20000000001</v>
      </c>
      <c r="BQ31" s="91">
        <f t="shared" si="61"/>
        <v>0</v>
      </c>
      <c r="BR31" s="453">
        <f t="shared" si="61"/>
        <v>0</v>
      </c>
      <c r="BS31" s="271"/>
      <c r="BT31" s="154"/>
      <c r="BU31" s="155"/>
      <c r="BV31" s="153"/>
      <c r="BW31" s="154"/>
      <c r="BX31" s="159"/>
      <c r="BY31" s="139"/>
      <c r="BZ31" s="91"/>
      <c r="CA31" s="131"/>
      <c r="CB31" s="90">
        <f t="shared" si="57"/>
        <v>0</v>
      </c>
      <c r="CC31" s="91">
        <f t="shared" si="57"/>
        <v>0</v>
      </c>
      <c r="CD31" s="36">
        <f t="shared" si="57"/>
        <v>0</v>
      </c>
      <c r="CE31" s="90"/>
      <c r="CF31" s="91"/>
      <c r="CG31" s="131"/>
      <c r="CH31" s="90"/>
      <c r="CI31" s="91"/>
      <c r="CJ31" s="36"/>
      <c r="CK31" s="90"/>
      <c r="CL31" s="91"/>
      <c r="CM31" s="36"/>
      <c r="CN31" s="99">
        <f t="shared" si="58"/>
        <v>0</v>
      </c>
      <c r="CO31" s="100">
        <f t="shared" si="58"/>
        <v>0</v>
      </c>
      <c r="CP31" s="101">
        <f t="shared" si="58"/>
        <v>0</v>
      </c>
      <c r="CQ31" s="392">
        <v>11000</v>
      </c>
      <c r="CR31" s="392">
        <v>11000</v>
      </c>
      <c r="CS31" s="390">
        <v>11000</v>
      </c>
      <c r="CT31" s="391">
        <f t="shared" si="59"/>
        <v>33000</v>
      </c>
      <c r="CU31" s="390">
        <v>11000</v>
      </c>
      <c r="CV31" s="390">
        <v>11000</v>
      </c>
      <c r="CW31" s="390">
        <v>55240</v>
      </c>
      <c r="CX31" s="464"/>
      <c r="CY31" s="251"/>
      <c r="CZ31" s="289"/>
      <c r="DA31" s="408">
        <f>S31-BP31</f>
        <v>13.799999999988358</v>
      </c>
      <c r="DB31" s="283">
        <f t="shared" si="60"/>
        <v>10376.35</v>
      </c>
      <c r="DD31" s="484">
        <v>94090</v>
      </c>
      <c r="DE31" s="660">
        <f>BP31-S31</f>
        <v>-13.799999999988358</v>
      </c>
    </row>
    <row r="32" spans="1:109" s="1" customFormat="1" ht="20.25" customHeight="1">
      <c r="A32" s="689"/>
      <c r="B32" s="16" t="s">
        <v>34</v>
      </c>
      <c r="C32" s="370"/>
      <c r="D32" s="65"/>
      <c r="E32" s="90">
        <v>30098.99</v>
      </c>
      <c r="F32" s="91">
        <v>0</v>
      </c>
      <c r="G32" s="36">
        <v>0</v>
      </c>
      <c r="H32" s="220">
        <v>33190</v>
      </c>
      <c r="I32" s="251"/>
      <c r="J32" s="320">
        <v>3000</v>
      </c>
      <c r="K32" s="320">
        <v>3000</v>
      </c>
      <c r="L32" s="320">
        <v>3000</v>
      </c>
      <c r="M32" s="320">
        <v>0</v>
      </c>
      <c r="N32" s="283">
        <v>2508.2491666666665</v>
      </c>
      <c r="O32" s="47">
        <v>-3091.01</v>
      </c>
      <c r="P32" s="272"/>
      <c r="Q32" s="503">
        <v>20000</v>
      </c>
      <c r="R32" s="513">
        <f>35620+1520</f>
        <v>37140</v>
      </c>
      <c r="S32" s="633">
        <f>J32+K32+L32+M32+Q32+R32-13690-19160</f>
        <v>33290</v>
      </c>
      <c r="T32" s="261">
        <v>268.44</v>
      </c>
      <c r="U32" s="45"/>
      <c r="V32" s="47"/>
      <c r="W32" s="44">
        <v>668.7</v>
      </c>
      <c r="X32" s="45"/>
      <c r="Y32" s="47"/>
      <c r="Z32" s="44">
        <v>3252.99</v>
      </c>
      <c r="AA32" s="45"/>
      <c r="AB32" s="47"/>
      <c r="AC32" s="90">
        <f t="shared" si="52"/>
        <v>4190.13</v>
      </c>
      <c r="AD32" s="91">
        <f t="shared" si="52"/>
        <v>0</v>
      </c>
      <c r="AE32" s="36">
        <f t="shared" si="52"/>
        <v>0</v>
      </c>
      <c r="AF32" s="44">
        <v>6060.19</v>
      </c>
      <c r="AG32" s="46">
        <v>0</v>
      </c>
      <c r="AH32" s="21">
        <v>0</v>
      </c>
      <c r="AI32" s="44">
        <v>9804.52</v>
      </c>
      <c r="AJ32" s="46"/>
      <c r="AK32" s="47"/>
      <c r="AL32" s="44"/>
      <c r="AM32" s="46"/>
      <c r="AN32" s="109"/>
      <c r="AO32" s="90">
        <f t="shared" si="53"/>
        <v>15864.71</v>
      </c>
      <c r="AP32" s="91">
        <f t="shared" si="53"/>
        <v>0</v>
      </c>
      <c r="AQ32" s="131">
        <f t="shared" si="53"/>
        <v>0</v>
      </c>
      <c r="AR32" s="44">
        <v>0</v>
      </c>
      <c r="AS32" s="46"/>
      <c r="AT32" s="21"/>
      <c r="AU32" s="44">
        <v>2584.29</v>
      </c>
      <c r="AV32" s="46"/>
      <c r="AW32" s="21"/>
      <c r="AX32" s="44">
        <v>2807.58</v>
      </c>
      <c r="AY32" s="47"/>
      <c r="AZ32" s="272"/>
      <c r="BA32" s="44">
        <f t="shared" si="54"/>
        <v>5391.87</v>
      </c>
      <c r="BB32" s="45">
        <f t="shared" si="54"/>
        <v>0</v>
      </c>
      <c r="BC32" s="46">
        <f t="shared" si="54"/>
        <v>0</v>
      </c>
      <c r="BD32" s="45"/>
      <c r="BE32" s="46"/>
      <c r="BF32" s="109"/>
      <c r="BG32" s="44">
        <v>2807.58</v>
      </c>
      <c r="BH32" s="46"/>
      <c r="BI32" s="21"/>
      <c r="BJ32" s="261">
        <v>4617.66</v>
      </c>
      <c r="BK32" s="46"/>
      <c r="BL32" s="109"/>
      <c r="BM32" s="44">
        <f t="shared" si="55"/>
        <v>7425.24</v>
      </c>
      <c r="BN32" s="45">
        <f t="shared" si="55"/>
        <v>0</v>
      </c>
      <c r="BO32" s="46">
        <f t="shared" si="55"/>
        <v>0</v>
      </c>
      <c r="BP32" s="90">
        <f>AC32+AO32+BA32+BM32</f>
        <v>32871.95</v>
      </c>
      <c r="BQ32" s="91">
        <f t="shared" si="61"/>
        <v>0</v>
      </c>
      <c r="BR32" s="453">
        <f t="shared" si="61"/>
        <v>0</v>
      </c>
      <c r="BS32" s="271"/>
      <c r="BT32" s="154"/>
      <c r="BU32" s="155"/>
      <c r="BV32" s="153"/>
      <c r="BW32" s="154"/>
      <c r="BX32" s="159"/>
      <c r="BY32" s="139"/>
      <c r="BZ32" s="91"/>
      <c r="CA32" s="131"/>
      <c r="CB32" s="90">
        <f t="shared" si="57"/>
        <v>0</v>
      </c>
      <c r="CC32" s="91">
        <f t="shared" si="57"/>
        <v>0</v>
      </c>
      <c r="CD32" s="36">
        <f t="shared" si="57"/>
        <v>0</v>
      </c>
      <c r="CE32" s="90"/>
      <c r="CF32" s="91"/>
      <c r="CG32" s="131"/>
      <c r="CH32" s="90"/>
      <c r="CI32" s="91"/>
      <c r="CJ32" s="36"/>
      <c r="CK32" s="90"/>
      <c r="CL32" s="91"/>
      <c r="CM32" s="36"/>
      <c r="CN32" s="99">
        <f t="shared" si="58"/>
        <v>0</v>
      </c>
      <c r="CO32" s="100">
        <f t="shared" si="58"/>
        <v>0</v>
      </c>
      <c r="CP32" s="101">
        <f t="shared" si="58"/>
        <v>0</v>
      </c>
      <c r="CQ32" s="392">
        <v>2000</v>
      </c>
      <c r="CR32" s="392">
        <v>3000</v>
      </c>
      <c r="CS32" s="390">
        <v>3000</v>
      </c>
      <c r="CT32" s="391">
        <f t="shared" si="59"/>
        <v>8000</v>
      </c>
      <c r="CU32" s="390">
        <v>3000</v>
      </c>
      <c r="CV32" s="390">
        <v>3000</v>
      </c>
      <c r="CW32" s="390">
        <v>15150</v>
      </c>
      <c r="CX32" s="464"/>
      <c r="CY32" s="251"/>
      <c r="CZ32" s="289"/>
      <c r="DA32" s="408">
        <f>S32-BP32</f>
        <v>418.0500000000029</v>
      </c>
      <c r="DB32" s="283">
        <f t="shared" si="60"/>
        <v>2739.3291666666664</v>
      </c>
      <c r="DD32" s="484">
        <v>26800</v>
      </c>
      <c r="DE32" s="36">
        <f>BP32-S32</f>
        <v>-418.0500000000029</v>
      </c>
    </row>
    <row r="33" spans="1:109" s="1" customFormat="1" ht="21.75" customHeight="1" thickBot="1">
      <c r="A33" s="698"/>
      <c r="B33" s="15" t="s">
        <v>15</v>
      </c>
      <c r="C33" s="367"/>
      <c r="D33" s="179"/>
      <c r="E33" s="90">
        <v>361850.62</v>
      </c>
      <c r="F33" s="91">
        <v>0</v>
      </c>
      <c r="G33" s="36">
        <v>0</v>
      </c>
      <c r="H33" s="220">
        <v>345060</v>
      </c>
      <c r="I33" s="251"/>
      <c r="J33" s="320">
        <v>29000</v>
      </c>
      <c r="K33" s="320">
        <v>29000</v>
      </c>
      <c r="L33" s="320">
        <v>31000</v>
      </c>
      <c r="M33" s="320">
        <v>50000</v>
      </c>
      <c r="N33" s="283">
        <v>30154.218333333334</v>
      </c>
      <c r="O33" s="434">
        <v>16790</v>
      </c>
      <c r="P33" s="342"/>
      <c r="Q33" s="354">
        <f>25000+233000</f>
        <v>258000</v>
      </c>
      <c r="R33" s="496">
        <f>384140+172710</f>
        <v>556850</v>
      </c>
      <c r="S33" s="633">
        <f>J33+K33+L33+M33+Q33+R33+16790+5140+19160</f>
        <v>994940</v>
      </c>
      <c r="T33" s="261">
        <v>31785.2</v>
      </c>
      <c r="U33" s="45"/>
      <c r="V33" s="47"/>
      <c r="W33" s="44">
        <v>28446.77</v>
      </c>
      <c r="X33" s="45"/>
      <c r="Y33" s="47"/>
      <c r="Z33" s="44">
        <v>14891.84</v>
      </c>
      <c r="AA33" s="45"/>
      <c r="AB33" s="47"/>
      <c r="AC33" s="90">
        <f t="shared" si="52"/>
        <v>75123.81</v>
      </c>
      <c r="AD33" s="91">
        <f t="shared" si="52"/>
        <v>0</v>
      </c>
      <c r="AE33" s="36">
        <f t="shared" si="52"/>
        <v>0</v>
      </c>
      <c r="AF33" s="44">
        <v>102027.41</v>
      </c>
      <c r="AG33" s="46">
        <v>0</v>
      </c>
      <c r="AH33" s="21">
        <v>0</v>
      </c>
      <c r="AI33" s="44">
        <v>109986.29</v>
      </c>
      <c r="AJ33" s="46"/>
      <c r="AK33" s="47"/>
      <c r="AL33" s="44">
        <v>17795.01</v>
      </c>
      <c r="AM33" s="46"/>
      <c r="AN33" s="109"/>
      <c r="AO33" s="90">
        <f t="shared" si="53"/>
        <v>229808.71000000002</v>
      </c>
      <c r="AP33" s="91">
        <f t="shared" si="53"/>
        <v>0</v>
      </c>
      <c r="AQ33" s="131">
        <f t="shared" si="53"/>
        <v>0</v>
      </c>
      <c r="AR33" s="44">
        <v>198182.85</v>
      </c>
      <c r="AS33" s="46"/>
      <c r="AT33" s="21"/>
      <c r="AU33" s="44">
        <v>115821.13</v>
      </c>
      <c r="AV33" s="46"/>
      <c r="AW33" s="21"/>
      <c r="AX33" s="44">
        <v>25056.27</v>
      </c>
      <c r="AY33" s="47"/>
      <c r="AZ33" s="272"/>
      <c r="BA33" s="44">
        <f t="shared" si="54"/>
        <v>339060.25</v>
      </c>
      <c r="BB33" s="45">
        <f t="shared" si="54"/>
        <v>0</v>
      </c>
      <c r="BC33" s="46">
        <f t="shared" si="54"/>
        <v>0</v>
      </c>
      <c r="BD33" s="45">
        <v>196850.3</v>
      </c>
      <c r="BE33" s="46"/>
      <c r="BF33" s="109"/>
      <c r="BG33" s="44">
        <v>111247.41</v>
      </c>
      <c r="BH33" s="46"/>
      <c r="BI33" s="21"/>
      <c r="BJ33" s="261">
        <v>105859.3</v>
      </c>
      <c r="BK33" s="46"/>
      <c r="BL33" s="109"/>
      <c r="BM33" s="44">
        <f t="shared" si="55"/>
        <v>413957.00999999995</v>
      </c>
      <c r="BN33" s="45">
        <f t="shared" si="55"/>
        <v>0</v>
      </c>
      <c r="BO33" s="46">
        <f t="shared" si="55"/>
        <v>0</v>
      </c>
      <c r="BP33" s="90">
        <f>AC33+AO33+BA33+BM33+O33</f>
        <v>1074739.78</v>
      </c>
      <c r="BQ33" s="91">
        <f t="shared" si="61"/>
        <v>0</v>
      </c>
      <c r="BR33" s="453">
        <f t="shared" si="61"/>
        <v>0</v>
      </c>
      <c r="BS33" s="271"/>
      <c r="BT33" s="154"/>
      <c r="BU33" s="155"/>
      <c r="BV33" s="153"/>
      <c r="BW33" s="154"/>
      <c r="BX33" s="159"/>
      <c r="BY33" s="139"/>
      <c r="BZ33" s="91"/>
      <c r="CA33" s="131"/>
      <c r="CB33" s="90">
        <f t="shared" si="57"/>
        <v>0</v>
      </c>
      <c r="CC33" s="91">
        <f t="shared" si="57"/>
        <v>0</v>
      </c>
      <c r="CD33" s="36">
        <f t="shared" si="57"/>
        <v>0</v>
      </c>
      <c r="CE33" s="90"/>
      <c r="CF33" s="91"/>
      <c r="CG33" s="131"/>
      <c r="CH33" s="90"/>
      <c r="CI33" s="91"/>
      <c r="CJ33" s="36"/>
      <c r="CK33" s="90"/>
      <c r="CL33" s="91"/>
      <c r="CM33" s="36"/>
      <c r="CN33" s="99">
        <f t="shared" si="58"/>
        <v>0</v>
      </c>
      <c r="CO33" s="100">
        <f t="shared" si="58"/>
        <v>0</v>
      </c>
      <c r="CP33" s="101">
        <f t="shared" si="58"/>
        <v>0</v>
      </c>
      <c r="CQ33" s="392">
        <v>28000</v>
      </c>
      <c r="CR33" s="392">
        <v>25000</v>
      </c>
      <c r="CS33" s="390">
        <v>25000</v>
      </c>
      <c r="CT33" s="391">
        <f t="shared" si="59"/>
        <v>78000</v>
      </c>
      <c r="CU33" s="390">
        <v>36000</v>
      </c>
      <c r="CV33" s="390">
        <v>36000</v>
      </c>
      <c r="CW33" s="390">
        <v>201600</v>
      </c>
      <c r="CX33" s="466"/>
      <c r="CY33" s="251"/>
      <c r="CZ33" s="289"/>
      <c r="DA33" s="408">
        <f>S33-BP33</f>
        <v>-79799.78000000003</v>
      </c>
      <c r="DB33" s="283">
        <f t="shared" si="60"/>
        <v>89561.64833333333</v>
      </c>
      <c r="DD33" s="484">
        <v>833790</v>
      </c>
      <c r="DE33" s="435">
        <f>BP33-S33</f>
        <v>79799.78000000003</v>
      </c>
    </row>
    <row r="34" spans="1:109" s="1" customFormat="1" ht="19.5" customHeight="1" thickBot="1">
      <c r="A34" s="685" t="s">
        <v>16</v>
      </c>
      <c r="B34" s="686"/>
      <c r="C34" s="369">
        <v>101824.34</v>
      </c>
      <c r="D34" s="175"/>
      <c r="E34" s="56">
        <v>4061132.57</v>
      </c>
      <c r="F34" s="56">
        <v>929928.59</v>
      </c>
      <c r="G34" s="56">
        <v>686565.12</v>
      </c>
      <c r="H34" s="52">
        <v>3618540</v>
      </c>
      <c r="I34" s="254">
        <v>0</v>
      </c>
      <c r="J34" s="439">
        <f>SUM(J26:J33)</f>
        <v>355000</v>
      </c>
      <c r="K34" s="439">
        <f>SUM(K26:K33)</f>
        <v>353000</v>
      </c>
      <c r="L34" s="439">
        <f>SUM(L26:L33)</f>
        <v>362000</v>
      </c>
      <c r="M34" s="439">
        <f>SUM(M26:M33)</f>
        <v>621000</v>
      </c>
      <c r="N34" s="283">
        <v>338427.71416666673</v>
      </c>
      <c r="O34" s="311">
        <v>42216.61000000028</v>
      </c>
      <c r="P34" s="130"/>
      <c r="Q34" s="353">
        <f aca="true" t="shared" si="62" ref="Q34:AV34">SUM(Q26:Q33)</f>
        <v>620200</v>
      </c>
      <c r="R34" s="353">
        <f t="shared" si="62"/>
        <v>1864380</v>
      </c>
      <c r="S34" s="353">
        <f t="shared" si="62"/>
        <v>4460620</v>
      </c>
      <c r="T34" s="92">
        <f t="shared" si="62"/>
        <v>339579.49</v>
      </c>
      <c r="U34" s="92">
        <f t="shared" si="62"/>
        <v>12873.4</v>
      </c>
      <c r="V34" s="92">
        <f t="shared" si="62"/>
        <v>165994.5</v>
      </c>
      <c r="W34" s="92">
        <f t="shared" si="62"/>
        <v>334157.23</v>
      </c>
      <c r="X34" s="92">
        <f t="shared" si="62"/>
        <v>97533.2</v>
      </c>
      <c r="Y34" s="92">
        <f t="shared" si="62"/>
        <v>126599.76</v>
      </c>
      <c r="Z34" s="92">
        <f t="shared" si="62"/>
        <v>390035.56</v>
      </c>
      <c r="AA34" s="92">
        <f t="shared" si="62"/>
        <v>225104.34</v>
      </c>
      <c r="AB34" s="92">
        <f t="shared" si="62"/>
        <v>0</v>
      </c>
      <c r="AC34" s="92">
        <f t="shared" si="62"/>
        <v>1063772.28</v>
      </c>
      <c r="AD34" s="92">
        <f t="shared" si="62"/>
        <v>335510.93999999994</v>
      </c>
      <c r="AE34" s="92">
        <f t="shared" si="62"/>
        <v>292594.26</v>
      </c>
      <c r="AF34" s="92">
        <f t="shared" si="62"/>
        <v>342038.49</v>
      </c>
      <c r="AG34" s="92">
        <f t="shared" si="62"/>
        <v>0</v>
      </c>
      <c r="AH34" s="92">
        <f t="shared" si="62"/>
        <v>60075.87</v>
      </c>
      <c r="AI34" s="92">
        <f t="shared" si="62"/>
        <v>327750.17</v>
      </c>
      <c r="AJ34" s="92">
        <f t="shared" si="62"/>
        <v>195066.4</v>
      </c>
      <c r="AK34" s="92">
        <f t="shared" si="62"/>
        <v>97533.2</v>
      </c>
      <c r="AL34" s="92">
        <f t="shared" si="62"/>
        <v>227658.39</v>
      </c>
      <c r="AM34" s="92">
        <f t="shared" si="62"/>
        <v>97533.2</v>
      </c>
      <c r="AN34" s="95">
        <f t="shared" si="62"/>
        <v>225104.34</v>
      </c>
      <c r="AO34" s="95">
        <f t="shared" si="62"/>
        <v>897447.05</v>
      </c>
      <c r="AP34" s="95">
        <f t="shared" si="62"/>
        <v>292599.6</v>
      </c>
      <c r="AQ34" s="95">
        <f t="shared" si="62"/>
        <v>382713.41</v>
      </c>
      <c r="AR34" s="92">
        <f t="shared" si="62"/>
        <v>404359.58</v>
      </c>
      <c r="AS34" s="92">
        <f t="shared" si="62"/>
        <v>42911.34</v>
      </c>
      <c r="AT34" s="92">
        <f t="shared" si="62"/>
        <v>0</v>
      </c>
      <c r="AU34" s="92">
        <f t="shared" si="62"/>
        <v>325478.62</v>
      </c>
      <c r="AV34" s="92">
        <f t="shared" si="62"/>
        <v>0</v>
      </c>
      <c r="AW34" s="92">
        <f aca="true" t="shared" si="63" ref="AW34:CB34">SUM(AW26:AW33)</f>
        <v>195066.4</v>
      </c>
      <c r="AX34" s="92">
        <f t="shared" si="63"/>
        <v>280522.35</v>
      </c>
      <c r="AY34" s="92">
        <f t="shared" si="63"/>
        <v>64367.01</v>
      </c>
      <c r="AZ34" s="493">
        <f t="shared" si="63"/>
        <v>97533.2</v>
      </c>
      <c r="BA34" s="92">
        <f t="shared" si="63"/>
        <v>1010360.5499999999</v>
      </c>
      <c r="BB34" s="92">
        <f t="shared" si="63"/>
        <v>107278.35</v>
      </c>
      <c r="BC34" s="92">
        <f t="shared" si="63"/>
        <v>292599.6</v>
      </c>
      <c r="BD34" s="92">
        <f t="shared" si="63"/>
        <v>429360.03</v>
      </c>
      <c r="BE34" s="92">
        <f t="shared" si="63"/>
        <v>0</v>
      </c>
      <c r="BF34" s="92">
        <f t="shared" si="63"/>
        <v>42911.34</v>
      </c>
      <c r="BG34" s="92">
        <f t="shared" si="63"/>
        <v>364034.38</v>
      </c>
      <c r="BH34" s="92">
        <f t="shared" si="63"/>
        <v>0</v>
      </c>
      <c r="BI34" s="92">
        <f t="shared" si="63"/>
        <v>0</v>
      </c>
      <c r="BJ34" s="92">
        <f t="shared" si="63"/>
        <v>321714.09</v>
      </c>
      <c r="BK34" s="92">
        <f t="shared" si="63"/>
        <v>0</v>
      </c>
      <c r="BL34" s="92">
        <f t="shared" si="63"/>
        <v>64367.01</v>
      </c>
      <c r="BM34" s="92">
        <f t="shared" si="63"/>
        <v>1115108.5</v>
      </c>
      <c r="BN34" s="92">
        <f t="shared" si="63"/>
        <v>0</v>
      </c>
      <c r="BO34" s="92">
        <f t="shared" si="63"/>
        <v>107278.35</v>
      </c>
      <c r="BP34" s="92">
        <f t="shared" si="63"/>
        <v>4161328.38</v>
      </c>
      <c r="BQ34" s="92">
        <f t="shared" si="63"/>
        <v>735388.8899999999</v>
      </c>
      <c r="BR34" s="454">
        <f t="shared" si="63"/>
        <v>1075185.6199999999</v>
      </c>
      <c r="BS34" s="92">
        <f t="shared" si="63"/>
        <v>0</v>
      </c>
      <c r="BT34" s="92">
        <f t="shared" si="63"/>
        <v>0</v>
      </c>
      <c r="BU34" s="92">
        <f t="shared" si="63"/>
        <v>0</v>
      </c>
      <c r="BV34" s="92">
        <f t="shared" si="63"/>
        <v>0</v>
      </c>
      <c r="BW34" s="92">
        <f t="shared" si="63"/>
        <v>0</v>
      </c>
      <c r="BX34" s="92">
        <f t="shared" si="63"/>
        <v>0</v>
      </c>
      <c r="BY34" s="92">
        <f t="shared" si="63"/>
        <v>0</v>
      </c>
      <c r="BZ34" s="92">
        <f t="shared" si="63"/>
        <v>0</v>
      </c>
      <c r="CA34" s="92">
        <f t="shared" si="63"/>
        <v>0</v>
      </c>
      <c r="CB34" s="92">
        <f t="shared" si="63"/>
        <v>0</v>
      </c>
      <c r="CC34" s="92">
        <f aca="true" t="shared" si="64" ref="CC34:CX34">SUM(CC26:CC33)</f>
        <v>0</v>
      </c>
      <c r="CD34" s="92">
        <f t="shared" si="64"/>
        <v>0</v>
      </c>
      <c r="CE34" s="92">
        <f t="shared" si="64"/>
        <v>0</v>
      </c>
      <c r="CF34" s="92">
        <f t="shared" si="64"/>
        <v>0</v>
      </c>
      <c r="CG34" s="92">
        <f t="shared" si="64"/>
        <v>0</v>
      </c>
      <c r="CH34" s="92">
        <f t="shared" si="64"/>
        <v>0</v>
      </c>
      <c r="CI34" s="92">
        <f t="shared" si="64"/>
        <v>0</v>
      </c>
      <c r="CJ34" s="92">
        <f t="shared" si="64"/>
        <v>0</v>
      </c>
      <c r="CK34" s="92">
        <f t="shared" si="64"/>
        <v>0</v>
      </c>
      <c r="CL34" s="92">
        <f t="shared" si="64"/>
        <v>0</v>
      </c>
      <c r="CM34" s="92">
        <f t="shared" si="64"/>
        <v>0</v>
      </c>
      <c r="CN34" s="92">
        <f t="shared" si="64"/>
        <v>0</v>
      </c>
      <c r="CO34" s="92">
        <f t="shared" si="64"/>
        <v>0</v>
      </c>
      <c r="CP34" s="92">
        <f t="shared" si="64"/>
        <v>0</v>
      </c>
      <c r="CQ34" s="92">
        <f t="shared" si="64"/>
        <v>367000</v>
      </c>
      <c r="CR34" s="92">
        <f t="shared" si="64"/>
        <v>352000</v>
      </c>
      <c r="CS34" s="92">
        <f t="shared" si="64"/>
        <v>353000</v>
      </c>
      <c r="CT34" s="92">
        <f t="shared" si="64"/>
        <v>1072000</v>
      </c>
      <c r="CU34" s="92">
        <f t="shared" si="64"/>
        <v>348000</v>
      </c>
      <c r="CV34" s="92">
        <f t="shared" si="64"/>
        <v>345000</v>
      </c>
      <c r="CW34" s="92">
        <f t="shared" si="64"/>
        <v>1643660</v>
      </c>
      <c r="CX34" s="454">
        <f t="shared" si="64"/>
        <v>4291.130000000005</v>
      </c>
      <c r="CY34" s="254">
        <f>AC26+AC29+AC30+AC31+AC32+AC33+AD34-CT34</f>
        <v>-32611.02000000002</v>
      </c>
      <c r="CZ34" s="684">
        <f>DA26+CZ27+CZ28+DA29+DA30+DA31+DA32+DA33</f>
        <v>55458.62000000029</v>
      </c>
      <c r="DA34" s="676"/>
      <c r="DB34" s="478">
        <f t="shared" si="60"/>
        <v>346777.365</v>
      </c>
      <c r="DD34" s="353">
        <f>SUM(DD26:DD33)</f>
        <v>3517029.2</v>
      </c>
      <c r="DE34" s="656">
        <f>BP26+BP29+BP30+BP31+BP32+BP33+BQ34-S34</f>
        <v>-55458.62000000011</v>
      </c>
    </row>
    <row r="35" spans="1:109" s="1" customFormat="1" ht="17.25" customHeight="1" thickBot="1">
      <c r="A35" s="688" t="s">
        <v>17</v>
      </c>
      <c r="B35" s="5" t="s">
        <v>23</v>
      </c>
      <c r="C35" s="366"/>
      <c r="D35" s="178"/>
      <c r="E35" s="90">
        <v>0</v>
      </c>
      <c r="F35" s="91">
        <v>0</v>
      </c>
      <c r="G35" s="36">
        <v>0</v>
      </c>
      <c r="H35" s="220">
        <v>0</v>
      </c>
      <c r="I35" s="251"/>
      <c r="J35" s="320"/>
      <c r="K35" s="320"/>
      <c r="L35" s="320"/>
      <c r="M35" s="320"/>
      <c r="N35" s="283">
        <v>0</v>
      </c>
      <c r="O35" s="58"/>
      <c r="P35" s="339"/>
      <c r="Q35" s="503"/>
      <c r="R35" s="511"/>
      <c r="S35" s="352"/>
      <c r="T35" s="261"/>
      <c r="U35" s="45"/>
      <c r="V35" s="47"/>
      <c r="W35" s="44"/>
      <c r="X35" s="45"/>
      <c r="Y35" s="47"/>
      <c r="Z35" s="44"/>
      <c r="AA35" s="45"/>
      <c r="AB35" s="47"/>
      <c r="AC35" s="90">
        <f aca="true" t="shared" si="65" ref="AC35:AE37">T35+W35+Z35</f>
        <v>0</v>
      </c>
      <c r="AD35" s="91">
        <f t="shared" si="65"/>
        <v>0</v>
      </c>
      <c r="AE35" s="36">
        <f t="shared" si="65"/>
        <v>0</v>
      </c>
      <c r="AF35" s="44">
        <v>0</v>
      </c>
      <c r="AG35" s="46">
        <v>0</v>
      </c>
      <c r="AH35" s="21">
        <v>0</v>
      </c>
      <c r="AI35" s="44"/>
      <c r="AJ35" s="46"/>
      <c r="AK35" s="47"/>
      <c r="AL35" s="44"/>
      <c r="AM35" s="46"/>
      <c r="AN35" s="109"/>
      <c r="AO35" s="90">
        <f aca="true" t="shared" si="66" ref="AO35:AQ37">AF35+AI35+AL35</f>
        <v>0</v>
      </c>
      <c r="AP35" s="91">
        <f t="shared" si="66"/>
        <v>0</v>
      </c>
      <c r="AQ35" s="131">
        <f t="shared" si="66"/>
        <v>0</v>
      </c>
      <c r="AR35" s="44"/>
      <c r="AS35" s="46"/>
      <c r="AT35" s="21"/>
      <c r="AU35" s="44"/>
      <c r="AV35" s="46"/>
      <c r="AW35" s="21"/>
      <c r="AX35" s="44"/>
      <c r="AY35" s="47"/>
      <c r="AZ35" s="272"/>
      <c r="BA35" s="44">
        <f aca="true" t="shared" si="67" ref="BA35:BC37">AR35+AU35+AX35</f>
        <v>0</v>
      </c>
      <c r="BB35" s="45">
        <f t="shared" si="67"/>
        <v>0</v>
      </c>
      <c r="BC35" s="46">
        <f t="shared" si="67"/>
        <v>0</v>
      </c>
      <c r="BD35" s="45"/>
      <c r="BE35" s="46"/>
      <c r="BF35" s="109"/>
      <c r="BG35" s="44"/>
      <c r="BH35" s="46"/>
      <c r="BI35" s="21"/>
      <c r="BJ35" s="261"/>
      <c r="BK35" s="46"/>
      <c r="BL35" s="109"/>
      <c r="BM35" s="44">
        <f aca="true" t="shared" si="68" ref="BM35:BO37">BD35+BG35+BJ35</f>
        <v>0</v>
      </c>
      <c r="BN35" s="45">
        <f t="shared" si="68"/>
        <v>0</v>
      </c>
      <c r="BO35" s="46">
        <f t="shared" si="68"/>
        <v>0</v>
      </c>
      <c r="BP35" s="90">
        <f aca="true" t="shared" si="69" ref="BP35:BR37">AC35+AO35+BA35+BM35</f>
        <v>0</v>
      </c>
      <c r="BQ35" s="91">
        <f t="shared" si="69"/>
        <v>0</v>
      </c>
      <c r="BR35" s="453">
        <f t="shared" si="69"/>
        <v>0</v>
      </c>
      <c r="BS35" s="271"/>
      <c r="BT35" s="154"/>
      <c r="BU35" s="155"/>
      <c r="BV35" s="153"/>
      <c r="BW35" s="154"/>
      <c r="BX35" s="159"/>
      <c r="BY35" s="139"/>
      <c r="BZ35" s="91"/>
      <c r="CA35" s="131"/>
      <c r="CB35" s="90">
        <f aca="true" t="shared" si="70" ref="CB35:CD37">BS35+BV35+BY35</f>
        <v>0</v>
      </c>
      <c r="CC35" s="91">
        <f t="shared" si="70"/>
        <v>0</v>
      </c>
      <c r="CD35" s="36">
        <f t="shared" si="70"/>
        <v>0</v>
      </c>
      <c r="CE35" s="90"/>
      <c r="CF35" s="91"/>
      <c r="CG35" s="131"/>
      <c r="CH35" s="90"/>
      <c r="CI35" s="91"/>
      <c r="CJ35" s="36"/>
      <c r="CK35" s="90"/>
      <c r="CL35" s="91"/>
      <c r="CM35" s="36"/>
      <c r="CN35" s="99">
        <f aca="true" t="shared" si="71" ref="CN35:CP37">CE35+CH35+CK35</f>
        <v>0</v>
      </c>
      <c r="CO35" s="100">
        <f t="shared" si="71"/>
        <v>0</v>
      </c>
      <c r="CP35" s="101">
        <f t="shared" si="71"/>
        <v>0</v>
      </c>
      <c r="CQ35" s="392"/>
      <c r="CR35" s="392"/>
      <c r="CS35" s="390"/>
      <c r="CT35" s="391">
        <f>CQ35+CR35+CS35</f>
        <v>0</v>
      </c>
      <c r="CU35" s="390"/>
      <c r="CV35" s="390"/>
      <c r="CW35" s="390"/>
      <c r="CX35" s="238"/>
      <c r="CY35" s="251"/>
      <c r="CZ35" s="293"/>
      <c r="DA35" s="410"/>
      <c r="DB35" s="477">
        <f>BP35/2</f>
        <v>0</v>
      </c>
      <c r="DD35" s="484">
        <f>J35+K35+L35</f>
        <v>0</v>
      </c>
      <c r="DE35" s="657"/>
    </row>
    <row r="36" spans="1:109" s="1" customFormat="1" ht="17.25" customHeight="1" thickBot="1">
      <c r="A36" s="689"/>
      <c r="B36" s="5" t="s">
        <v>22</v>
      </c>
      <c r="C36" s="370">
        <v>13963.77</v>
      </c>
      <c r="D36" s="65"/>
      <c r="E36" s="90">
        <v>53592.56</v>
      </c>
      <c r="F36" s="91">
        <v>62123.23</v>
      </c>
      <c r="G36" s="36">
        <v>57115.42</v>
      </c>
      <c r="H36" s="220">
        <v>62140</v>
      </c>
      <c r="I36" s="251"/>
      <c r="J36" s="320">
        <v>5000</v>
      </c>
      <c r="K36" s="320">
        <v>5000</v>
      </c>
      <c r="L36" s="320">
        <v>5000</v>
      </c>
      <c r="M36" s="320">
        <v>0</v>
      </c>
      <c r="N36" s="283">
        <v>4466.046666666666</v>
      </c>
      <c r="O36" s="47">
        <v>-16.770000000004075</v>
      </c>
      <c r="P36" s="272"/>
      <c r="Q36" s="503">
        <v>0</v>
      </c>
      <c r="R36" s="513">
        <f>8000+7230</f>
        <v>15230</v>
      </c>
      <c r="S36" s="633">
        <f>J36+K36+L36+M36+Q36+R36+2980</f>
        <v>33210</v>
      </c>
      <c r="T36" s="261">
        <v>3138.48</v>
      </c>
      <c r="U36" s="45"/>
      <c r="V36" s="47">
        <v>1000</v>
      </c>
      <c r="W36" s="44">
        <v>3622.86</v>
      </c>
      <c r="X36" s="45">
        <v>2527.06</v>
      </c>
      <c r="Y36" s="47">
        <v>7477.49</v>
      </c>
      <c r="Z36" s="44">
        <v>5381.18</v>
      </c>
      <c r="AA36" s="45"/>
      <c r="AB36" s="47">
        <f>9.61+10012.9</f>
        <v>10022.51</v>
      </c>
      <c r="AC36" s="90">
        <f t="shared" si="65"/>
        <v>12142.52</v>
      </c>
      <c r="AD36" s="91">
        <f t="shared" si="65"/>
        <v>2527.06</v>
      </c>
      <c r="AE36" s="36">
        <f t="shared" si="65"/>
        <v>18500</v>
      </c>
      <c r="AF36" s="44">
        <v>3234.44</v>
      </c>
      <c r="AG36" s="46">
        <v>12168.76</v>
      </c>
      <c r="AH36" s="21">
        <v>0</v>
      </c>
      <c r="AI36" s="44">
        <v>4874.35</v>
      </c>
      <c r="AJ36" s="46"/>
      <c r="AK36" s="47">
        <v>2517.45</v>
      </c>
      <c r="AL36" s="44">
        <v>5735.66</v>
      </c>
      <c r="AM36" s="46"/>
      <c r="AN36" s="109">
        <f>12.55</f>
        <v>12.55</v>
      </c>
      <c r="AO36" s="90">
        <f t="shared" si="66"/>
        <v>13844.45</v>
      </c>
      <c r="AP36" s="91">
        <f t="shared" si="66"/>
        <v>12168.76</v>
      </c>
      <c r="AQ36" s="131">
        <f t="shared" si="66"/>
        <v>2530</v>
      </c>
      <c r="AR36" s="44">
        <v>2132.67</v>
      </c>
      <c r="AS36" s="46"/>
      <c r="AT36" s="21">
        <v>12156.21</v>
      </c>
      <c r="AU36" s="44">
        <v>483.44</v>
      </c>
      <c r="AV36" s="46"/>
      <c r="AW36" s="21"/>
      <c r="AX36" s="44">
        <v>0</v>
      </c>
      <c r="AY36" s="47">
        <v>510.9</v>
      </c>
      <c r="AZ36" s="272"/>
      <c r="BA36" s="44">
        <f t="shared" si="67"/>
        <v>2616.11</v>
      </c>
      <c r="BB36" s="45">
        <f t="shared" si="67"/>
        <v>510.9</v>
      </c>
      <c r="BC36" s="46">
        <f t="shared" si="67"/>
        <v>12156.21</v>
      </c>
      <c r="BD36" s="45">
        <v>3477.58</v>
      </c>
      <c r="BE36" s="46">
        <v>10124.8</v>
      </c>
      <c r="BF36" s="109"/>
      <c r="BG36" s="44">
        <v>5528.24</v>
      </c>
      <c r="BH36" s="46">
        <v>3500.34</v>
      </c>
      <c r="BI36" s="21"/>
      <c r="BJ36" s="261">
        <v>3476.16</v>
      </c>
      <c r="BK36" s="46">
        <v>3934.31</v>
      </c>
      <c r="BL36" s="109">
        <v>523.79</v>
      </c>
      <c r="BM36" s="44">
        <f t="shared" si="68"/>
        <v>12481.98</v>
      </c>
      <c r="BN36" s="45">
        <f t="shared" si="68"/>
        <v>17559.45</v>
      </c>
      <c r="BO36" s="46">
        <f t="shared" si="68"/>
        <v>523.79</v>
      </c>
      <c r="BP36" s="90">
        <f t="shared" si="69"/>
        <v>41085.06</v>
      </c>
      <c r="BQ36" s="91">
        <f t="shared" si="69"/>
        <v>32766.17</v>
      </c>
      <c r="BR36" s="453">
        <f t="shared" si="69"/>
        <v>33710</v>
      </c>
      <c r="BS36" s="271"/>
      <c r="BT36" s="154"/>
      <c r="BU36" s="155"/>
      <c r="BV36" s="153"/>
      <c r="BW36" s="154"/>
      <c r="BX36" s="159"/>
      <c r="BY36" s="139"/>
      <c r="BZ36" s="91"/>
      <c r="CA36" s="131"/>
      <c r="CB36" s="90">
        <f t="shared" si="70"/>
        <v>0</v>
      </c>
      <c r="CC36" s="91">
        <f t="shared" si="70"/>
        <v>0</v>
      </c>
      <c r="CD36" s="36">
        <f t="shared" si="70"/>
        <v>0</v>
      </c>
      <c r="CE36" s="90"/>
      <c r="CF36" s="91"/>
      <c r="CG36" s="131"/>
      <c r="CH36" s="90"/>
      <c r="CI36" s="91"/>
      <c r="CJ36" s="36"/>
      <c r="CK36" s="90"/>
      <c r="CL36" s="91"/>
      <c r="CM36" s="36"/>
      <c r="CN36" s="99">
        <f t="shared" si="71"/>
        <v>0</v>
      </c>
      <c r="CO36" s="100">
        <f t="shared" si="71"/>
        <v>0</v>
      </c>
      <c r="CP36" s="101">
        <f t="shared" si="71"/>
        <v>0</v>
      </c>
      <c r="CQ36" s="392">
        <v>5000</v>
      </c>
      <c r="CR36" s="392">
        <v>6000</v>
      </c>
      <c r="CS36" s="390">
        <v>6000</v>
      </c>
      <c r="CT36" s="391">
        <f>CQ36+CR36+CS36</f>
        <v>17000</v>
      </c>
      <c r="CU36" s="390">
        <v>7000</v>
      </c>
      <c r="CV36" s="390">
        <v>7000</v>
      </c>
      <c r="CW36" s="390">
        <v>22140</v>
      </c>
      <c r="CX36" s="464">
        <f>C36+BQ36-BP36</f>
        <v>5644.880000000005</v>
      </c>
      <c r="CY36" s="251"/>
      <c r="CZ36" s="288">
        <f>S36-BQ36</f>
        <v>443.83000000000175</v>
      </c>
      <c r="DA36" s="405"/>
      <c r="DB36" s="283">
        <f aca="true" t="shared" si="72" ref="DB36:DB41">BP36/12</f>
        <v>3423.7549999999997</v>
      </c>
      <c r="DD36" s="482">
        <v>23000</v>
      </c>
      <c r="DE36" s="660">
        <f>BQ36-S36</f>
        <v>-443.83000000000175</v>
      </c>
    </row>
    <row r="37" spans="1:109" s="1" customFormat="1" ht="17.25" customHeight="1" thickBot="1">
      <c r="A37" s="689"/>
      <c r="B37" s="13" t="s">
        <v>24</v>
      </c>
      <c r="C37" s="367">
        <v>1028.84</v>
      </c>
      <c r="D37" s="179"/>
      <c r="E37" s="102">
        <v>1181.48</v>
      </c>
      <c r="F37" s="103">
        <v>1285.76</v>
      </c>
      <c r="G37" s="104">
        <v>364.58</v>
      </c>
      <c r="H37" s="418">
        <v>2180</v>
      </c>
      <c r="I37" s="419"/>
      <c r="J37" s="417">
        <v>0</v>
      </c>
      <c r="K37" s="417">
        <v>0</v>
      </c>
      <c r="L37" s="417">
        <v>0</v>
      </c>
      <c r="M37" s="417">
        <v>0</v>
      </c>
      <c r="N37" s="283">
        <v>98.45666666666666</v>
      </c>
      <c r="O37" s="267">
        <v>-894.24</v>
      </c>
      <c r="P37" s="303"/>
      <c r="Q37" s="503"/>
      <c r="R37" s="513">
        <v>1060</v>
      </c>
      <c r="S37" s="633">
        <f>J37+K37+L37+M37+Q37+R37</f>
        <v>1060</v>
      </c>
      <c r="T37" s="261">
        <v>56.41</v>
      </c>
      <c r="U37" s="45"/>
      <c r="V37" s="47"/>
      <c r="W37" s="44">
        <v>253.49</v>
      </c>
      <c r="X37" s="45"/>
      <c r="Y37" s="47"/>
      <c r="Z37" s="44">
        <v>261.44</v>
      </c>
      <c r="AA37" s="45"/>
      <c r="AB37" s="47"/>
      <c r="AC37" s="90">
        <f t="shared" si="65"/>
        <v>571.3399999999999</v>
      </c>
      <c r="AD37" s="91">
        <f t="shared" si="65"/>
        <v>0</v>
      </c>
      <c r="AE37" s="36">
        <f t="shared" si="65"/>
        <v>0</v>
      </c>
      <c r="AF37" s="44">
        <v>250.65</v>
      </c>
      <c r="AG37" s="46">
        <v>0</v>
      </c>
      <c r="AH37" s="21">
        <v>0</v>
      </c>
      <c r="AI37" s="44">
        <v>44.56</v>
      </c>
      <c r="AJ37" s="46"/>
      <c r="AK37" s="47"/>
      <c r="AL37" s="44">
        <v>135.14</v>
      </c>
      <c r="AM37" s="46"/>
      <c r="AN37" s="109"/>
      <c r="AO37" s="90">
        <f t="shared" si="66"/>
        <v>430.35</v>
      </c>
      <c r="AP37" s="91">
        <f t="shared" si="66"/>
        <v>0</v>
      </c>
      <c r="AQ37" s="131">
        <f t="shared" si="66"/>
        <v>0</v>
      </c>
      <c r="AR37" s="44">
        <v>16.32</v>
      </c>
      <c r="AS37" s="46"/>
      <c r="AT37" s="21"/>
      <c r="AU37" s="44">
        <v>1.44</v>
      </c>
      <c r="AV37" s="46"/>
      <c r="AW37" s="21"/>
      <c r="AX37" s="44">
        <v>0</v>
      </c>
      <c r="AY37" s="47">
        <v>0</v>
      </c>
      <c r="AZ37" s="272"/>
      <c r="BA37" s="44">
        <f t="shared" si="67"/>
        <v>17.76</v>
      </c>
      <c r="BB37" s="45">
        <f t="shared" si="67"/>
        <v>0</v>
      </c>
      <c r="BC37" s="46">
        <f t="shared" si="67"/>
        <v>0</v>
      </c>
      <c r="BD37" s="45">
        <v>0</v>
      </c>
      <c r="BE37" s="46"/>
      <c r="BF37" s="109"/>
      <c r="BG37" s="44">
        <v>0</v>
      </c>
      <c r="BH37" s="46"/>
      <c r="BI37" s="21"/>
      <c r="BJ37" s="261">
        <v>5.44</v>
      </c>
      <c r="BK37" s="46">
        <v>637.65</v>
      </c>
      <c r="BL37" s="109"/>
      <c r="BM37" s="44">
        <f t="shared" si="68"/>
        <v>5.44</v>
      </c>
      <c r="BN37" s="45">
        <f t="shared" si="68"/>
        <v>637.65</v>
      </c>
      <c r="BO37" s="46">
        <f t="shared" si="68"/>
        <v>0</v>
      </c>
      <c r="BP37" s="90">
        <f t="shared" si="69"/>
        <v>1024.8899999999999</v>
      </c>
      <c r="BQ37" s="91">
        <f t="shared" si="69"/>
        <v>637.65</v>
      </c>
      <c r="BR37" s="453">
        <f t="shared" si="69"/>
        <v>0</v>
      </c>
      <c r="BS37" s="270"/>
      <c r="BT37" s="151"/>
      <c r="BU37" s="152"/>
      <c r="BV37" s="145"/>
      <c r="BW37" s="151"/>
      <c r="BX37" s="160"/>
      <c r="BY37" s="140"/>
      <c r="BZ37" s="103"/>
      <c r="CA37" s="135"/>
      <c r="CB37" s="102">
        <f t="shared" si="70"/>
        <v>0</v>
      </c>
      <c r="CC37" s="103">
        <f t="shared" si="70"/>
        <v>0</v>
      </c>
      <c r="CD37" s="104">
        <f t="shared" si="70"/>
        <v>0</v>
      </c>
      <c r="CE37" s="90"/>
      <c r="CF37" s="91"/>
      <c r="CG37" s="131"/>
      <c r="CH37" s="90"/>
      <c r="CI37" s="91"/>
      <c r="CJ37" s="36"/>
      <c r="CK37" s="90"/>
      <c r="CL37" s="91"/>
      <c r="CM37" s="36"/>
      <c r="CN37" s="99">
        <f t="shared" si="71"/>
        <v>0</v>
      </c>
      <c r="CO37" s="100">
        <f t="shared" si="71"/>
        <v>0</v>
      </c>
      <c r="CP37" s="101">
        <f t="shared" si="71"/>
        <v>0</v>
      </c>
      <c r="CQ37" s="393">
        <v>1000</v>
      </c>
      <c r="CR37" s="393">
        <v>0</v>
      </c>
      <c r="CS37" s="394"/>
      <c r="CT37" s="395">
        <f>CQ37+CR37+CS37</f>
        <v>1000</v>
      </c>
      <c r="CU37" s="394">
        <v>1000</v>
      </c>
      <c r="CV37" s="394">
        <v>0</v>
      </c>
      <c r="CW37" s="394">
        <v>180</v>
      </c>
      <c r="CX37" s="464">
        <f>C37+BQ37-BP37</f>
        <v>641.5999999999999</v>
      </c>
      <c r="CY37" s="251"/>
      <c r="CZ37" s="380">
        <f>S37-BQ37</f>
        <v>422.35</v>
      </c>
      <c r="DA37" s="409"/>
      <c r="DB37" s="283">
        <f t="shared" si="72"/>
        <v>85.40749999999998</v>
      </c>
      <c r="DD37" s="482">
        <f>J37+K37+L37+M37+Q37+R37</f>
        <v>1060</v>
      </c>
      <c r="DE37" s="660">
        <f>BQ37-S37</f>
        <v>-422.35</v>
      </c>
    </row>
    <row r="38" spans="1:109" s="1" customFormat="1" ht="19.5" customHeight="1" thickBot="1">
      <c r="A38" s="690" t="s">
        <v>18</v>
      </c>
      <c r="B38" s="691"/>
      <c r="C38" s="429">
        <f>C36+C37</f>
        <v>14992.61</v>
      </c>
      <c r="D38" s="162"/>
      <c r="E38" s="56">
        <v>54774.04</v>
      </c>
      <c r="F38" s="56">
        <v>63408.99</v>
      </c>
      <c r="G38" s="56">
        <v>57480</v>
      </c>
      <c r="H38" s="204">
        <v>64320</v>
      </c>
      <c r="I38" s="424">
        <v>0</v>
      </c>
      <c r="J38" s="204">
        <f>J36+J37</f>
        <v>5000</v>
      </c>
      <c r="K38" s="204">
        <f>K36+K37</f>
        <v>5000</v>
      </c>
      <c r="L38" s="204">
        <f>L36+L37</f>
        <v>5000</v>
      </c>
      <c r="M38" s="204">
        <f>M36+M37</f>
        <v>0</v>
      </c>
      <c r="N38" s="283">
        <v>4564.503333333333</v>
      </c>
      <c r="O38" s="311">
        <v>-911.0100000000041</v>
      </c>
      <c r="P38" s="344"/>
      <c r="Q38" s="353">
        <f aca="true" t="shared" si="73" ref="Q38:AV38">Q36+Q37</f>
        <v>0</v>
      </c>
      <c r="R38" s="353">
        <f t="shared" si="73"/>
        <v>16290</v>
      </c>
      <c r="S38" s="353">
        <f t="shared" si="73"/>
        <v>34270</v>
      </c>
      <c r="T38" s="92">
        <f t="shared" si="73"/>
        <v>3194.89</v>
      </c>
      <c r="U38" s="92">
        <f t="shared" si="73"/>
        <v>0</v>
      </c>
      <c r="V38" s="92">
        <f t="shared" si="73"/>
        <v>1000</v>
      </c>
      <c r="W38" s="92">
        <f t="shared" si="73"/>
        <v>3876.3500000000004</v>
      </c>
      <c r="X38" s="92">
        <f t="shared" si="73"/>
        <v>2527.06</v>
      </c>
      <c r="Y38" s="92">
        <f t="shared" si="73"/>
        <v>7477.49</v>
      </c>
      <c r="Z38" s="92">
        <f t="shared" si="73"/>
        <v>5642.62</v>
      </c>
      <c r="AA38" s="92">
        <f t="shared" si="73"/>
        <v>0</v>
      </c>
      <c r="AB38" s="92">
        <f t="shared" si="73"/>
        <v>10022.51</v>
      </c>
      <c r="AC38" s="92">
        <f t="shared" si="73"/>
        <v>12713.86</v>
      </c>
      <c r="AD38" s="92">
        <f t="shared" si="73"/>
        <v>2527.06</v>
      </c>
      <c r="AE38" s="92">
        <f t="shared" si="73"/>
        <v>18500</v>
      </c>
      <c r="AF38" s="92">
        <f t="shared" si="73"/>
        <v>3485.09</v>
      </c>
      <c r="AG38" s="92">
        <f t="shared" si="73"/>
        <v>12168.76</v>
      </c>
      <c r="AH38" s="92">
        <f t="shared" si="73"/>
        <v>0</v>
      </c>
      <c r="AI38" s="92">
        <f t="shared" si="73"/>
        <v>4918.910000000001</v>
      </c>
      <c r="AJ38" s="92">
        <f t="shared" si="73"/>
        <v>0</v>
      </c>
      <c r="AK38" s="92">
        <f t="shared" si="73"/>
        <v>2517.45</v>
      </c>
      <c r="AL38" s="92">
        <f t="shared" si="73"/>
        <v>5870.8</v>
      </c>
      <c r="AM38" s="92">
        <f t="shared" si="73"/>
        <v>0</v>
      </c>
      <c r="AN38" s="95">
        <f t="shared" si="73"/>
        <v>12.55</v>
      </c>
      <c r="AO38" s="95">
        <f t="shared" si="73"/>
        <v>14274.800000000001</v>
      </c>
      <c r="AP38" s="95">
        <f t="shared" si="73"/>
        <v>12168.76</v>
      </c>
      <c r="AQ38" s="95">
        <f t="shared" si="73"/>
        <v>2530</v>
      </c>
      <c r="AR38" s="92">
        <f t="shared" si="73"/>
        <v>2148.9900000000002</v>
      </c>
      <c r="AS38" s="92">
        <f t="shared" si="73"/>
        <v>0</v>
      </c>
      <c r="AT38" s="92">
        <f t="shared" si="73"/>
        <v>12156.21</v>
      </c>
      <c r="AU38" s="92">
        <f t="shared" si="73"/>
        <v>484.88</v>
      </c>
      <c r="AV38" s="92">
        <f t="shared" si="73"/>
        <v>0</v>
      </c>
      <c r="AW38" s="92">
        <f aca="true" t="shared" si="74" ref="AW38:CB38">AW36+AW37</f>
        <v>0</v>
      </c>
      <c r="AX38" s="92">
        <f t="shared" si="74"/>
        <v>0</v>
      </c>
      <c r="AY38" s="92">
        <f t="shared" si="74"/>
        <v>510.9</v>
      </c>
      <c r="AZ38" s="493">
        <f t="shared" si="74"/>
        <v>0</v>
      </c>
      <c r="BA38" s="92">
        <f t="shared" si="74"/>
        <v>2633.8700000000003</v>
      </c>
      <c r="BB38" s="92">
        <f t="shared" si="74"/>
        <v>510.9</v>
      </c>
      <c r="BC38" s="92">
        <f t="shared" si="74"/>
        <v>12156.21</v>
      </c>
      <c r="BD38" s="92">
        <f t="shared" si="74"/>
        <v>3477.58</v>
      </c>
      <c r="BE38" s="92">
        <f t="shared" si="74"/>
        <v>10124.8</v>
      </c>
      <c r="BF38" s="92">
        <f t="shared" si="74"/>
        <v>0</v>
      </c>
      <c r="BG38" s="92">
        <f t="shared" si="74"/>
        <v>5528.24</v>
      </c>
      <c r="BH38" s="92">
        <f t="shared" si="74"/>
        <v>3500.34</v>
      </c>
      <c r="BI38" s="92">
        <f t="shared" si="74"/>
        <v>0</v>
      </c>
      <c r="BJ38" s="92">
        <f t="shared" si="74"/>
        <v>3481.6</v>
      </c>
      <c r="BK38" s="92">
        <f t="shared" si="74"/>
        <v>4571.96</v>
      </c>
      <c r="BL38" s="92">
        <f t="shared" si="74"/>
        <v>523.79</v>
      </c>
      <c r="BM38" s="92">
        <f t="shared" si="74"/>
        <v>12487.42</v>
      </c>
      <c r="BN38" s="92">
        <f t="shared" si="74"/>
        <v>18197.100000000002</v>
      </c>
      <c r="BO38" s="92">
        <f t="shared" si="74"/>
        <v>523.79</v>
      </c>
      <c r="BP38" s="92">
        <f t="shared" si="74"/>
        <v>42109.95</v>
      </c>
      <c r="BQ38" s="92">
        <f t="shared" si="74"/>
        <v>33403.82</v>
      </c>
      <c r="BR38" s="454">
        <f t="shared" si="74"/>
        <v>33710</v>
      </c>
      <c r="BS38" s="92">
        <f t="shared" si="74"/>
        <v>0</v>
      </c>
      <c r="BT38" s="92">
        <f t="shared" si="74"/>
        <v>0</v>
      </c>
      <c r="BU38" s="92">
        <f t="shared" si="74"/>
        <v>0</v>
      </c>
      <c r="BV38" s="92">
        <f t="shared" si="74"/>
        <v>0</v>
      </c>
      <c r="BW38" s="92">
        <f t="shared" si="74"/>
        <v>0</v>
      </c>
      <c r="BX38" s="92">
        <f t="shared" si="74"/>
        <v>0</v>
      </c>
      <c r="BY38" s="92">
        <f t="shared" si="74"/>
        <v>0</v>
      </c>
      <c r="BZ38" s="92">
        <f t="shared" si="74"/>
        <v>0</v>
      </c>
      <c r="CA38" s="92">
        <f t="shared" si="74"/>
        <v>0</v>
      </c>
      <c r="CB38" s="92">
        <f t="shared" si="74"/>
        <v>0</v>
      </c>
      <c r="CC38" s="92">
        <f aca="true" t="shared" si="75" ref="CC38:CX38">CC36+CC37</f>
        <v>0</v>
      </c>
      <c r="CD38" s="92">
        <f t="shared" si="75"/>
        <v>0</v>
      </c>
      <c r="CE38" s="92">
        <f t="shared" si="75"/>
        <v>0</v>
      </c>
      <c r="CF38" s="92">
        <f t="shared" si="75"/>
        <v>0</v>
      </c>
      <c r="CG38" s="92">
        <f t="shared" si="75"/>
        <v>0</v>
      </c>
      <c r="CH38" s="92">
        <f t="shared" si="75"/>
        <v>0</v>
      </c>
      <c r="CI38" s="92">
        <f t="shared" si="75"/>
        <v>0</v>
      </c>
      <c r="CJ38" s="92">
        <f t="shared" si="75"/>
        <v>0</v>
      </c>
      <c r="CK38" s="92">
        <f t="shared" si="75"/>
        <v>0</v>
      </c>
      <c r="CL38" s="92">
        <f t="shared" si="75"/>
        <v>0</v>
      </c>
      <c r="CM38" s="92">
        <f t="shared" si="75"/>
        <v>0</v>
      </c>
      <c r="CN38" s="92">
        <f t="shared" si="75"/>
        <v>0</v>
      </c>
      <c r="CO38" s="92">
        <f t="shared" si="75"/>
        <v>0</v>
      </c>
      <c r="CP38" s="92">
        <f t="shared" si="75"/>
        <v>0</v>
      </c>
      <c r="CQ38" s="92">
        <f t="shared" si="75"/>
        <v>6000</v>
      </c>
      <c r="CR38" s="92">
        <f t="shared" si="75"/>
        <v>6000</v>
      </c>
      <c r="CS38" s="92">
        <f t="shared" si="75"/>
        <v>6000</v>
      </c>
      <c r="CT38" s="92">
        <f t="shared" si="75"/>
        <v>18000</v>
      </c>
      <c r="CU38" s="92">
        <f t="shared" si="75"/>
        <v>8000</v>
      </c>
      <c r="CV38" s="92">
        <f t="shared" si="75"/>
        <v>7000</v>
      </c>
      <c r="CW38" s="92">
        <f t="shared" si="75"/>
        <v>22320</v>
      </c>
      <c r="CX38" s="454">
        <f t="shared" si="75"/>
        <v>6286.480000000005</v>
      </c>
      <c r="CY38" s="253">
        <f>AD38-CT38</f>
        <v>-15472.94</v>
      </c>
      <c r="CZ38" s="381">
        <f>CZ36+CZ37</f>
        <v>866.1800000000018</v>
      </c>
      <c r="DA38" s="412"/>
      <c r="DB38" s="478">
        <f t="shared" si="72"/>
        <v>3509.1625</v>
      </c>
      <c r="DD38" s="353">
        <f>SUM(DD36:DD37)</f>
        <v>24060</v>
      </c>
      <c r="DE38" s="656"/>
    </row>
    <row r="39" spans="1:109" s="1" customFormat="1" ht="21.75" customHeight="1" thickBot="1">
      <c r="A39" s="690" t="s">
        <v>25</v>
      </c>
      <c r="B39" s="691"/>
      <c r="C39" s="425"/>
      <c r="D39" s="426"/>
      <c r="E39" s="105">
        <v>670463.08</v>
      </c>
      <c r="F39" s="106">
        <v>0</v>
      </c>
      <c r="G39" s="107">
        <v>0</v>
      </c>
      <c r="H39" s="220">
        <v>675880</v>
      </c>
      <c r="I39" s="427"/>
      <c r="J39" s="428">
        <v>56000</v>
      </c>
      <c r="K39" s="428">
        <v>56000</v>
      </c>
      <c r="L39" s="322">
        <v>56000</v>
      </c>
      <c r="M39" s="321">
        <v>88000</v>
      </c>
      <c r="N39" s="283">
        <v>55871.92333333334</v>
      </c>
      <c r="O39" s="311">
        <v>-5416.9199999999255</v>
      </c>
      <c r="P39" s="130"/>
      <c r="Q39" s="353">
        <f>44000+19000</f>
        <v>63000</v>
      </c>
      <c r="R39" s="495">
        <f>200220+12060</f>
        <v>212280</v>
      </c>
      <c r="S39" s="634">
        <f>J39+K39+L39+M39+Q39+R39+52170</f>
        <v>583450</v>
      </c>
      <c r="T39" s="262">
        <v>51085.43</v>
      </c>
      <c r="U39" s="77"/>
      <c r="V39" s="75"/>
      <c r="W39" s="78">
        <v>49208.12</v>
      </c>
      <c r="X39" s="77"/>
      <c r="Y39" s="75"/>
      <c r="Z39" s="78">
        <v>57174.5</v>
      </c>
      <c r="AA39" s="77"/>
      <c r="AB39" s="75"/>
      <c r="AC39" s="102">
        <f aca="true" t="shared" si="76" ref="AC39:AE43">T39+W39+Z39</f>
        <v>157468.05</v>
      </c>
      <c r="AD39" s="103">
        <f t="shared" si="76"/>
        <v>0</v>
      </c>
      <c r="AE39" s="104">
        <f t="shared" si="76"/>
        <v>0</v>
      </c>
      <c r="AF39" s="78">
        <v>59088.83</v>
      </c>
      <c r="AG39" s="83">
        <v>0</v>
      </c>
      <c r="AH39" s="25">
        <v>0</v>
      </c>
      <c r="AI39" s="78">
        <v>47318.51</v>
      </c>
      <c r="AJ39" s="83"/>
      <c r="AK39" s="75"/>
      <c r="AL39" s="78">
        <v>26406.03</v>
      </c>
      <c r="AM39" s="83"/>
      <c r="AN39" s="110"/>
      <c r="AO39" s="96">
        <f aca="true" t="shared" si="77" ref="AO39:AQ43">AF39+AI39+AL39</f>
        <v>132813.37</v>
      </c>
      <c r="AP39" s="97">
        <f t="shared" si="77"/>
        <v>0</v>
      </c>
      <c r="AQ39" s="138">
        <f t="shared" si="77"/>
        <v>0</v>
      </c>
      <c r="AR39" s="78">
        <v>47808.68</v>
      </c>
      <c r="AS39" s="83"/>
      <c r="AT39" s="25"/>
      <c r="AU39" s="78">
        <v>50667.49</v>
      </c>
      <c r="AV39" s="83"/>
      <c r="AW39" s="25"/>
      <c r="AX39" s="78">
        <v>48829.3</v>
      </c>
      <c r="AY39" s="75"/>
      <c r="AZ39" s="508"/>
      <c r="BA39" s="265">
        <f aca="true" t="shared" si="78" ref="BA39:BC43">AR39+AU39+AX39</f>
        <v>147305.47</v>
      </c>
      <c r="BB39" s="266">
        <f t="shared" si="78"/>
        <v>0</v>
      </c>
      <c r="BC39" s="268">
        <f t="shared" si="78"/>
        <v>0</v>
      </c>
      <c r="BD39" s="77">
        <v>47910.63</v>
      </c>
      <c r="BE39" s="83"/>
      <c r="BF39" s="110"/>
      <c r="BG39" s="78">
        <v>54528.14</v>
      </c>
      <c r="BH39" s="83"/>
      <c r="BI39" s="25"/>
      <c r="BJ39" s="262">
        <v>60293.59</v>
      </c>
      <c r="BK39" s="83"/>
      <c r="BL39" s="110"/>
      <c r="BM39" s="265">
        <f aca="true" t="shared" si="79" ref="BM39:BO43">BD39+BG39+BJ39</f>
        <v>162732.36</v>
      </c>
      <c r="BN39" s="266">
        <f t="shared" si="79"/>
        <v>0</v>
      </c>
      <c r="BO39" s="268">
        <f t="shared" si="79"/>
        <v>0</v>
      </c>
      <c r="BP39" s="102">
        <f aca="true" t="shared" si="80" ref="BP39:BR43">AC39+AO39+BA39+BM39</f>
        <v>600319.25</v>
      </c>
      <c r="BQ39" s="103">
        <f t="shared" si="80"/>
        <v>0</v>
      </c>
      <c r="BR39" s="455">
        <f t="shared" si="80"/>
        <v>0</v>
      </c>
      <c r="BS39" s="273"/>
      <c r="BT39" s="157"/>
      <c r="BU39" s="158"/>
      <c r="BV39" s="156"/>
      <c r="BW39" s="157"/>
      <c r="BX39" s="163"/>
      <c r="BY39" s="143"/>
      <c r="BZ39" s="97"/>
      <c r="CA39" s="138"/>
      <c r="CB39" s="96">
        <f aca="true" t="shared" si="81" ref="CB39:CD43">BS39+BV39+BY39</f>
        <v>0</v>
      </c>
      <c r="CC39" s="97">
        <f t="shared" si="81"/>
        <v>0</v>
      </c>
      <c r="CD39" s="98">
        <f t="shared" si="81"/>
        <v>0</v>
      </c>
      <c r="CE39" s="96"/>
      <c r="CF39" s="97"/>
      <c r="CG39" s="138"/>
      <c r="CH39" s="96"/>
      <c r="CI39" s="97"/>
      <c r="CJ39" s="98"/>
      <c r="CK39" s="96"/>
      <c r="CL39" s="97"/>
      <c r="CM39" s="98"/>
      <c r="CN39" s="96">
        <f aca="true" t="shared" si="82" ref="CN39:CP43">CE39+CH39+CK39</f>
        <v>0</v>
      </c>
      <c r="CO39" s="97">
        <f t="shared" si="82"/>
        <v>0</v>
      </c>
      <c r="CP39" s="98">
        <f t="shared" si="82"/>
        <v>0</v>
      </c>
      <c r="CQ39" s="396">
        <v>55000</v>
      </c>
      <c r="CR39" s="396">
        <v>55000</v>
      </c>
      <c r="CS39" s="396">
        <v>55000</v>
      </c>
      <c r="CT39" s="395">
        <f>CQ39+CR39+CS39</f>
        <v>165000</v>
      </c>
      <c r="CU39" s="397">
        <v>55000</v>
      </c>
      <c r="CV39" s="397">
        <v>60000</v>
      </c>
      <c r="CW39" s="397">
        <v>277200</v>
      </c>
      <c r="CX39" s="465"/>
      <c r="CY39" s="255">
        <f>AC39-CT39</f>
        <v>-7531.950000000012</v>
      </c>
      <c r="CZ39" s="294"/>
      <c r="DA39" s="413">
        <f>S39-BP39</f>
        <v>-16869.25</v>
      </c>
      <c r="DB39" s="478">
        <f t="shared" si="72"/>
        <v>50026.604166666664</v>
      </c>
      <c r="DD39" s="353">
        <v>444000</v>
      </c>
      <c r="DE39" s="654">
        <f>BP39-S39</f>
        <v>16869.25</v>
      </c>
    </row>
    <row r="40" spans="1:109" s="1" customFormat="1" ht="21" customHeight="1" thickBot="1">
      <c r="A40" s="699" t="s">
        <v>26</v>
      </c>
      <c r="B40" s="700"/>
      <c r="C40" s="369">
        <v>180383.01</v>
      </c>
      <c r="D40" s="180"/>
      <c r="E40" s="96">
        <v>296260.91</v>
      </c>
      <c r="F40" s="97">
        <v>377909.54</v>
      </c>
      <c r="G40" s="98">
        <v>358250</v>
      </c>
      <c r="H40" s="220">
        <v>378000</v>
      </c>
      <c r="I40" s="255"/>
      <c r="J40" s="322">
        <v>32000</v>
      </c>
      <c r="K40" s="322">
        <v>0</v>
      </c>
      <c r="L40" s="321">
        <v>0</v>
      </c>
      <c r="M40" s="321">
        <v>0</v>
      </c>
      <c r="N40" s="283">
        <v>24688.409166666668</v>
      </c>
      <c r="O40" s="311">
        <v>-90.45999999996275</v>
      </c>
      <c r="P40" s="130"/>
      <c r="Q40" s="504">
        <v>0</v>
      </c>
      <c r="R40" s="516">
        <f>66790+28320</f>
        <v>95110</v>
      </c>
      <c r="S40" s="634">
        <f>J40+K40+L40+M40+Q40+R40+53780</f>
        <v>180890</v>
      </c>
      <c r="T40" s="262">
        <v>26606.9</v>
      </c>
      <c r="U40" s="77">
        <v>31974.06</v>
      </c>
      <c r="V40" s="75">
        <v>60000</v>
      </c>
      <c r="W40" s="78">
        <v>13289.28</v>
      </c>
      <c r="X40" s="77"/>
      <c r="Y40" s="75">
        <v>71700.64</v>
      </c>
      <c r="Z40" s="78">
        <v>25355.58</v>
      </c>
      <c r="AA40" s="77"/>
      <c r="AB40" s="75">
        <f>9.36</f>
        <v>9.36</v>
      </c>
      <c r="AC40" s="96">
        <f t="shared" si="76"/>
        <v>65251.76</v>
      </c>
      <c r="AD40" s="97">
        <f t="shared" si="76"/>
        <v>31974.06</v>
      </c>
      <c r="AE40" s="98">
        <f t="shared" si="76"/>
        <v>131710</v>
      </c>
      <c r="AF40" s="78">
        <v>32034.01</v>
      </c>
      <c r="AG40" s="83">
        <v>0</v>
      </c>
      <c r="AH40" s="25">
        <v>31964.7</v>
      </c>
      <c r="AI40" s="78">
        <v>19031.4</v>
      </c>
      <c r="AJ40" s="83">
        <v>0</v>
      </c>
      <c r="AK40" s="75"/>
      <c r="AL40" s="78">
        <v>13508.37</v>
      </c>
      <c r="AM40" s="83"/>
      <c r="AN40" s="110"/>
      <c r="AO40" s="105">
        <f t="shared" si="77"/>
        <v>64573.780000000006</v>
      </c>
      <c r="AP40" s="106">
        <f t="shared" si="77"/>
        <v>0</v>
      </c>
      <c r="AQ40" s="137">
        <f t="shared" si="77"/>
        <v>31964.7</v>
      </c>
      <c r="AR40" s="78">
        <v>35745.46</v>
      </c>
      <c r="AS40" s="83">
        <v>66771.22</v>
      </c>
      <c r="AT40" s="25"/>
      <c r="AU40" s="78">
        <v>56941.6</v>
      </c>
      <c r="AV40" s="83"/>
      <c r="AW40" s="25"/>
      <c r="AX40" s="78">
        <v>23245.34</v>
      </c>
      <c r="AY40" s="75"/>
      <c r="AZ40" s="508">
        <v>5.3</v>
      </c>
      <c r="BA40" s="78">
        <f t="shared" si="78"/>
        <v>115932.4</v>
      </c>
      <c r="BB40" s="77">
        <f t="shared" si="78"/>
        <v>66771.22</v>
      </c>
      <c r="BC40" s="83">
        <f t="shared" si="78"/>
        <v>5.3</v>
      </c>
      <c r="BD40" s="77">
        <v>18949.65</v>
      </c>
      <c r="BE40" s="83">
        <v>28251.71</v>
      </c>
      <c r="BF40" s="110">
        <v>66765.92</v>
      </c>
      <c r="BG40" s="78">
        <v>4558.38</v>
      </c>
      <c r="BH40" s="83">
        <v>31278.64</v>
      </c>
      <c r="BI40" s="25"/>
      <c r="BJ40" s="262">
        <v>28008.64</v>
      </c>
      <c r="BK40" s="83">
        <v>22497.6</v>
      </c>
      <c r="BL40" s="110"/>
      <c r="BM40" s="78">
        <f t="shared" si="79"/>
        <v>51516.67</v>
      </c>
      <c r="BN40" s="77">
        <f t="shared" si="79"/>
        <v>82027.95</v>
      </c>
      <c r="BO40" s="83">
        <f t="shared" si="79"/>
        <v>66765.92</v>
      </c>
      <c r="BP40" s="96">
        <f t="shared" si="80"/>
        <v>297274.61</v>
      </c>
      <c r="BQ40" s="97">
        <f t="shared" si="80"/>
        <v>180773.22999999998</v>
      </c>
      <c r="BR40" s="456">
        <f t="shared" si="80"/>
        <v>230445.91999999998</v>
      </c>
      <c r="BS40" s="273"/>
      <c r="BT40" s="157"/>
      <c r="BU40" s="158"/>
      <c r="BV40" s="156"/>
      <c r="BW40" s="157"/>
      <c r="BX40" s="163"/>
      <c r="BY40" s="143"/>
      <c r="BZ40" s="97"/>
      <c r="CA40" s="138"/>
      <c r="CB40" s="96">
        <f t="shared" si="81"/>
        <v>0</v>
      </c>
      <c r="CC40" s="97">
        <f t="shared" si="81"/>
        <v>0</v>
      </c>
      <c r="CD40" s="98">
        <f t="shared" si="81"/>
        <v>0</v>
      </c>
      <c r="CE40" s="96"/>
      <c r="CF40" s="97"/>
      <c r="CG40" s="138"/>
      <c r="CH40" s="96"/>
      <c r="CI40" s="97"/>
      <c r="CJ40" s="98"/>
      <c r="CK40" s="96"/>
      <c r="CL40" s="97"/>
      <c r="CM40" s="98"/>
      <c r="CN40" s="96">
        <f t="shared" si="82"/>
        <v>0</v>
      </c>
      <c r="CO40" s="97">
        <f t="shared" si="82"/>
        <v>0</v>
      </c>
      <c r="CP40" s="98">
        <f t="shared" si="82"/>
        <v>0</v>
      </c>
      <c r="CQ40" s="397">
        <v>28000</v>
      </c>
      <c r="CR40" s="397">
        <v>40000</v>
      </c>
      <c r="CS40" s="397">
        <v>40000</v>
      </c>
      <c r="CT40" s="398">
        <f>CQ40+CR40+CS40</f>
        <v>108000</v>
      </c>
      <c r="CU40" s="397">
        <v>40000</v>
      </c>
      <c r="CV40" s="397">
        <v>40000</v>
      </c>
      <c r="CW40" s="397">
        <v>123650</v>
      </c>
      <c r="CX40" s="465">
        <f>C40+BQ40-BP40</f>
        <v>63881.630000000005</v>
      </c>
      <c r="CY40" s="255">
        <f>AD40-CT40</f>
        <v>-76025.94</v>
      </c>
      <c r="CZ40" s="295">
        <f>S40-BQ40</f>
        <v>116.77000000001863</v>
      </c>
      <c r="DA40" s="414"/>
      <c r="DB40" s="478">
        <f t="shared" si="72"/>
        <v>24772.884166666667</v>
      </c>
      <c r="DD40" s="510">
        <v>98790</v>
      </c>
      <c r="DE40" s="661">
        <f>BQ40-S40</f>
        <v>-116.77000000001863</v>
      </c>
    </row>
    <row r="41" spans="1:109" s="1" customFormat="1" ht="27" customHeight="1" thickBot="1">
      <c r="A41" s="708" t="s">
        <v>36</v>
      </c>
      <c r="B41" s="709"/>
      <c r="C41" s="538"/>
      <c r="D41" s="539"/>
      <c r="E41" s="540">
        <v>884697</v>
      </c>
      <c r="F41" s="541">
        <v>0</v>
      </c>
      <c r="G41" s="542">
        <v>899290.75</v>
      </c>
      <c r="H41" s="418">
        <v>931260</v>
      </c>
      <c r="I41" s="342"/>
      <c r="J41" s="543">
        <v>43758</v>
      </c>
      <c r="K41" s="543">
        <v>43758</v>
      </c>
      <c r="L41" s="543">
        <v>43758</v>
      </c>
      <c r="M41" s="474">
        <v>87516</v>
      </c>
      <c r="N41" s="476">
        <v>73724.75</v>
      </c>
      <c r="O41" s="79"/>
      <c r="P41" s="340"/>
      <c r="Q41" s="544">
        <v>43758</v>
      </c>
      <c r="R41" s="545">
        <v>201960</v>
      </c>
      <c r="S41" s="635">
        <f>J41+K41+L41+99297+M41+Q41+57783+R41+99297+251328+62832</f>
        <v>1035045</v>
      </c>
      <c r="T41" s="546">
        <v>76857</v>
      </c>
      <c r="U41" s="547"/>
      <c r="V41" s="548">
        <f>38047.75+70117.25</f>
        <v>108165</v>
      </c>
      <c r="W41" s="549">
        <v>79101</v>
      </c>
      <c r="X41" s="550"/>
      <c r="Y41" s="551">
        <f>76857+3366+39370.25</f>
        <v>119593.25</v>
      </c>
      <c r="Z41" s="549">
        <v>86955</v>
      </c>
      <c r="AA41" s="550"/>
      <c r="AB41" s="551">
        <v>79101</v>
      </c>
      <c r="AC41" s="540">
        <f t="shared" si="76"/>
        <v>242913</v>
      </c>
      <c r="AD41" s="541">
        <f t="shared" si="76"/>
        <v>0</v>
      </c>
      <c r="AE41" s="542">
        <f t="shared" si="76"/>
        <v>306859.25</v>
      </c>
      <c r="AF41" s="549">
        <v>72369</v>
      </c>
      <c r="AG41" s="552">
        <v>0</v>
      </c>
      <c r="AH41" s="553">
        <v>77389.95</v>
      </c>
      <c r="AI41" s="549">
        <v>57783</v>
      </c>
      <c r="AJ41" s="552"/>
      <c r="AK41" s="551">
        <f>9565.05+72369</f>
        <v>81934.05</v>
      </c>
      <c r="AL41" s="549">
        <v>57783</v>
      </c>
      <c r="AM41" s="552"/>
      <c r="AN41" s="554">
        <v>57783</v>
      </c>
      <c r="AO41" s="540">
        <f t="shared" si="77"/>
        <v>187935</v>
      </c>
      <c r="AP41" s="541">
        <f t="shared" si="77"/>
        <v>0</v>
      </c>
      <c r="AQ41" s="555">
        <f t="shared" si="77"/>
        <v>217107</v>
      </c>
      <c r="AR41" s="549">
        <v>76857</v>
      </c>
      <c r="AS41" s="552"/>
      <c r="AT41" s="553">
        <v>57783</v>
      </c>
      <c r="AU41" s="549">
        <v>72930</v>
      </c>
      <c r="AV41" s="552"/>
      <c r="AW41" s="553">
        <v>76857</v>
      </c>
      <c r="AX41" s="549">
        <v>73491</v>
      </c>
      <c r="AY41" s="551"/>
      <c r="AZ41" s="644">
        <v>72930</v>
      </c>
      <c r="BA41" s="549">
        <f t="shared" si="78"/>
        <v>223278</v>
      </c>
      <c r="BB41" s="550">
        <f t="shared" si="78"/>
        <v>0</v>
      </c>
      <c r="BC41" s="552">
        <f t="shared" si="78"/>
        <v>207570</v>
      </c>
      <c r="BD41" s="550">
        <v>53856</v>
      </c>
      <c r="BE41" s="552"/>
      <c r="BF41" s="554">
        <v>73491</v>
      </c>
      <c r="BG41" s="549">
        <v>67320</v>
      </c>
      <c r="BH41" s="552"/>
      <c r="BI41" s="553">
        <v>53856</v>
      </c>
      <c r="BJ41" s="556">
        <v>63954</v>
      </c>
      <c r="BK41" s="552"/>
      <c r="BL41" s="554"/>
      <c r="BM41" s="549">
        <f t="shared" si="79"/>
        <v>185130</v>
      </c>
      <c r="BN41" s="550">
        <f t="shared" si="79"/>
        <v>0</v>
      </c>
      <c r="BO41" s="552">
        <f t="shared" si="79"/>
        <v>127347</v>
      </c>
      <c r="BP41" s="540">
        <f t="shared" si="80"/>
        <v>839256</v>
      </c>
      <c r="BQ41" s="541">
        <f t="shared" si="80"/>
        <v>0</v>
      </c>
      <c r="BR41" s="557">
        <f t="shared" si="80"/>
        <v>858883.25</v>
      </c>
      <c r="BS41" s="558"/>
      <c r="BT41" s="559"/>
      <c r="BU41" s="560"/>
      <c r="BV41" s="561"/>
      <c r="BW41" s="559"/>
      <c r="BX41" s="562"/>
      <c r="BY41" s="563"/>
      <c r="BZ41" s="541"/>
      <c r="CA41" s="555"/>
      <c r="CB41" s="540">
        <f t="shared" si="81"/>
        <v>0</v>
      </c>
      <c r="CC41" s="541">
        <f t="shared" si="81"/>
        <v>0</v>
      </c>
      <c r="CD41" s="542">
        <f t="shared" si="81"/>
        <v>0</v>
      </c>
      <c r="CE41" s="540"/>
      <c r="CF41" s="541"/>
      <c r="CG41" s="555"/>
      <c r="CH41" s="540"/>
      <c r="CI41" s="541"/>
      <c r="CJ41" s="542"/>
      <c r="CK41" s="540"/>
      <c r="CL41" s="541"/>
      <c r="CM41" s="542"/>
      <c r="CN41" s="540">
        <f t="shared" si="82"/>
        <v>0</v>
      </c>
      <c r="CO41" s="541">
        <f t="shared" si="82"/>
        <v>0</v>
      </c>
      <c r="CP41" s="542">
        <f t="shared" si="82"/>
        <v>0</v>
      </c>
      <c r="CQ41" s="564">
        <v>43758</v>
      </c>
      <c r="CR41" s="564">
        <v>43758</v>
      </c>
      <c r="CS41" s="564">
        <v>43758</v>
      </c>
      <c r="CT41" s="565">
        <f>CQ41+CR41+CS41</f>
        <v>131274</v>
      </c>
      <c r="CU41" s="564">
        <v>43758</v>
      </c>
      <c r="CV41" s="564">
        <v>43758</v>
      </c>
      <c r="CW41" s="564">
        <v>205326</v>
      </c>
      <c r="CX41" s="566"/>
      <c r="CY41" s="342">
        <f>AC41-CT41</f>
        <v>111639</v>
      </c>
      <c r="CZ41" s="567">
        <f>S41-BP41</f>
        <v>195789</v>
      </c>
      <c r="DA41" s="568"/>
      <c r="DB41" s="569">
        <f t="shared" si="72"/>
        <v>69938</v>
      </c>
      <c r="DD41" s="570">
        <f>J41+K41+L41+M41+Q41+158200</f>
        <v>420748</v>
      </c>
      <c r="DE41" s="662">
        <f>BP41-S41</f>
        <v>-195789</v>
      </c>
    </row>
    <row r="42" spans="1:109" s="1" customFormat="1" ht="27" customHeight="1" thickBot="1">
      <c r="A42" s="685" t="s">
        <v>33</v>
      </c>
      <c r="B42" s="686"/>
      <c r="C42" s="592"/>
      <c r="D42" s="593"/>
      <c r="E42" s="594">
        <v>0</v>
      </c>
      <c r="F42" s="595">
        <v>0</v>
      </c>
      <c r="G42" s="596">
        <v>0</v>
      </c>
      <c r="H42" s="591">
        <v>0</v>
      </c>
      <c r="I42" s="597"/>
      <c r="J42" s="598"/>
      <c r="K42" s="598"/>
      <c r="L42" s="598"/>
      <c r="M42" s="598"/>
      <c r="N42" s="599">
        <v>0</v>
      </c>
      <c r="O42" s="600"/>
      <c r="P42" s="601"/>
      <c r="Q42" s="602"/>
      <c r="R42" s="603"/>
      <c r="S42" s="591">
        <v>21750</v>
      </c>
      <c r="T42" s="604"/>
      <c r="U42" s="605"/>
      <c r="V42" s="600"/>
      <c r="W42" s="606"/>
      <c r="X42" s="605"/>
      <c r="Y42" s="600"/>
      <c r="Z42" s="606"/>
      <c r="AA42" s="605"/>
      <c r="AB42" s="600"/>
      <c r="AC42" s="594">
        <f t="shared" si="76"/>
        <v>0</v>
      </c>
      <c r="AD42" s="595">
        <f t="shared" si="76"/>
        <v>0</v>
      </c>
      <c r="AE42" s="596">
        <f t="shared" si="76"/>
        <v>0</v>
      </c>
      <c r="AF42" s="606">
        <v>0</v>
      </c>
      <c r="AG42" s="607">
        <v>0</v>
      </c>
      <c r="AH42" s="608">
        <v>0</v>
      </c>
      <c r="AI42" s="606"/>
      <c r="AJ42" s="607"/>
      <c r="AK42" s="600"/>
      <c r="AL42" s="606"/>
      <c r="AM42" s="607"/>
      <c r="AN42" s="609"/>
      <c r="AO42" s="594">
        <f t="shared" si="77"/>
        <v>0</v>
      </c>
      <c r="AP42" s="595">
        <f t="shared" si="77"/>
        <v>0</v>
      </c>
      <c r="AQ42" s="610">
        <f t="shared" si="77"/>
        <v>0</v>
      </c>
      <c r="AR42" s="606"/>
      <c r="AS42" s="607"/>
      <c r="AT42" s="608"/>
      <c r="AU42" s="606">
        <v>0</v>
      </c>
      <c r="AV42" s="607"/>
      <c r="AW42" s="608"/>
      <c r="AX42" s="606">
        <v>1537</v>
      </c>
      <c r="AY42" s="600"/>
      <c r="AZ42" s="601"/>
      <c r="BA42" s="606">
        <f t="shared" si="78"/>
        <v>1537</v>
      </c>
      <c r="BB42" s="605">
        <f t="shared" si="78"/>
        <v>0</v>
      </c>
      <c r="BC42" s="607">
        <f t="shared" si="78"/>
        <v>0</v>
      </c>
      <c r="BD42" s="605">
        <v>1102</v>
      </c>
      <c r="BE42" s="607"/>
      <c r="BF42" s="609"/>
      <c r="BG42" s="606">
        <v>1595</v>
      </c>
      <c r="BH42" s="607"/>
      <c r="BI42" s="608"/>
      <c r="BJ42" s="604">
        <v>2030</v>
      </c>
      <c r="BK42" s="607"/>
      <c r="BL42" s="609"/>
      <c r="BM42" s="606">
        <f t="shared" si="79"/>
        <v>4727</v>
      </c>
      <c r="BN42" s="605">
        <f t="shared" si="79"/>
        <v>0</v>
      </c>
      <c r="BO42" s="607">
        <f t="shared" si="79"/>
        <v>0</v>
      </c>
      <c r="BP42" s="594">
        <f t="shared" si="80"/>
        <v>6264</v>
      </c>
      <c r="BQ42" s="595">
        <f t="shared" si="80"/>
        <v>0</v>
      </c>
      <c r="BR42" s="611">
        <f t="shared" si="80"/>
        <v>0</v>
      </c>
      <c r="BS42" s="612"/>
      <c r="BT42" s="613"/>
      <c r="BU42" s="614"/>
      <c r="BV42" s="615"/>
      <c r="BW42" s="613"/>
      <c r="BX42" s="616"/>
      <c r="BY42" s="617"/>
      <c r="BZ42" s="595"/>
      <c r="CA42" s="610"/>
      <c r="CB42" s="594">
        <f t="shared" si="81"/>
        <v>0</v>
      </c>
      <c r="CC42" s="595">
        <f t="shared" si="81"/>
        <v>0</v>
      </c>
      <c r="CD42" s="596">
        <f t="shared" si="81"/>
        <v>0</v>
      </c>
      <c r="CE42" s="594"/>
      <c r="CF42" s="595"/>
      <c r="CG42" s="610"/>
      <c r="CH42" s="594"/>
      <c r="CI42" s="595"/>
      <c r="CJ42" s="596"/>
      <c r="CK42" s="594"/>
      <c r="CL42" s="595"/>
      <c r="CM42" s="596"/>
      <c r="CN42" s="594">
        <f t="shared" si="82"/>
        <v>0</v>
      </c>
      <c r="CO42" s="595">
        <f t="shared" si="82"/>
        <v>0</v>
      </c>
      <c r="CP42" s="596">
        <f t="shared" si="82"/>
        <v>0</v>
      </c>
      <c r="CQ42" s="618"/>
      <c r="CR42" s="618"/>
      <c r="CS42" s="618"/>
      <c r="CT42" s="618">
        <f>CQ42+CR42+CS42</f>
        <v>0</v>
      </c>
      <c r="CU42" s="618"/>
      <c r="CV42" s="618"/>
      <c r="CW42" s="618"/>
      <c r="CX42" s="619"/>
      <c r="CY42" s="597"/>
      <c r="CZ42" s="625">
        <f>S42-BP42</f>
        <v>15486</v>
      </c>
      <c r="DA42" s="620"/>
      <c r="DB42" s="599">
        <f>BP42/4</f>
        <v>1566</v>
      </c>
      <c r="DC42" s="621"/>
      <c r="DD42" s="622">
        <v>4350</v>
      </c>
      <c r="DE42" s="627">
        <f>BP42-S42</f>
        <v>-15486</v>
      </c>
    </row>
    <row r="43" spans="1:109" s="1" customFormat="1" ht="27" customHeight="1" thickBot="1">
      <c r="A43" s="682" t="s">
        <v>141</v>
      </c>
      <c r="B43" s="683"/>
      <c r="C43" s="422"/>
      <c r="D43" s="423"/>
      <c r="E43" s="571">
        <v>9600</v>
      </c>
      <c r="F43" s="572">
        <v>0</v>
      </c>
      <c r="G43" s="573">
        <v>9420</v>
      </c>
      <c r="H43" s="220">
        <v>9600</v>
      </c>
      <c r="I43" s="427"/>
      <c r="J43" s="574">
        <v>1000</v>
      </c>
      <c r="K43" s="574">
        <v>1000</v>
      </c>
      <c r="L43" s="474">
        <v>1000</v>
      </c>
      <c r="M43" s="474">
        <v>1000</v>
      </c>
      <c r="N43" s="477">
        <v>800</v>
      </c>
      <c r="O43" s="573">
        <v>0</v>
      </c>
      <c r="P43" s="341"/>
      <c r="Q43" s="575">
        <v>1000</v>
      </c>
      <c r="R43" s="517">
        <f>3860+1700</f>
        <v>5560</v>
      </c>
      <c r="S43" s="636">
        <f>J43+K43+L43+M43+Q43+R43</f>
        <v>10560</v>
      </c>
      <c r="T43" s="576">
        <v>700</v>
      </c>
      <c r="U43" s="577"/>
      <c r="V43" s="578">
        <v>1140</v>
      </c>
      <c r="W43" s="579">
        <v>660</v>
      </c>
      <c r="X43" s="580"/>
      <c r="Y43" s="581">
        <v>1020</v>
      </c>
      <c r="Z43" s="579">
        <v>940</v>
      </c>
      <c r="AA43" s="580"/>
      <c r="AB43" s="581"/>
      <c r="AC43" s="99">
        <f t="shared" si="76"/>
        <v>2300</v>
      </c>
      <c r="AD43" s="100">
        <f t="shared" si="76"/>
        <v>0</v>
      </c>
      <c r="AE43" s="101">
        <f t="shared" si="76"/>
        <v>2160</v>
      </c>
      <c r="AF43" s="579">
        <v>880</v>
      </c>
      <c r="AG43" s="582">
        <v>0</v>
      </c>
      <c r="AH43" s="583">
        <v>700</v>
      </c>
      <c r="AI43" s="579">
        <v>940</v>
      </c>
      <c r="AJ43" s="582"/>
      <c r="AK43" s="581">
        <v>660</v>
      </c>
      <c r="AL43" s="579">
        <v>1360</v>
      </c>
      <c r="AM43" s="582"/>
      <c r="AN43" s="584">
        <v>940</v>
      </c>
      <c r="AO43" s="571">
        <f t="shared" si="77"/>
        <v>3180</v>
      </c>
      <c r="AP43" s="572">
        <f t="shared" si="77"/>
        <v>0</v>
      </c>
      <c r="AQ43" s="585">
        <f t="shared" si="77"/>
        <v>2300</v>
      </c>
      <c r="AR43" s="579">
        <v>680</v>
      </c>
      <c r="AS43" s="582"/>
      <c r="AT43" s="583">
        <v>880</v>
      </c>
      <c r="AU43" s="579">
        <v>0</v>
      </c>
      <c r="AV43" s="582"/>
      <c r="AW43" s="583">
        <v>840</v>
      </c>
      <c r="AX43" s="579">
        <v>0</v>
      </c>
      <c r="AY43" s="581"/>
      <c r="AZ43" s="645">
        <v>880</v>
      </c>
      <c r="BA43" s="579">
        <f t="shared" si="78"/>
        <v>680</v>
      </c>
      <c r="BB43" s="580">
        <f t="shared" si="78"/>
        <v>0</v>
      </c>
      <c r="BC43" s="582">
        <f t="shared" si="78"/>
        <v>2600</v>
      </c>
      <c r="BD43" s="580">
        <v>100</v>
      </c>
      <c r="BE43" s="582"/>
      <c r="BF43" s="584">
        <v>1160</v>
      </c>
      <c r="BG43" s="579">
        <v>100</v>
      </c>
      <c r="BH43" s="582"/>
      <c r="BI43" s="583"/>
      <c r="BJ43" s="586">
        <v>60</v>
      </c>
      <c r="BK43" s="582"/>
      <c r="BL43" s="584"/>
      <c r="BM43" s="579">
        <f t="shared" si="79"/>
        <v>260</v>
      </c>
      <c r="BN43" s="580">
        <f t="shared" si="79"/>
        <v>0</v>
      </c>
      <c r="BO43" s="582">
        <f t="shared" si="79"/>
        <v>1160</v>
      </c>
      <c r="BP43" s="571">
        <f t="shared" si="80"/>
        <v>6420</v>
      </c>
      <c r="BQ43" s="572">
        <f t="shared" si="80"/>
        <v>0</v>
      </c>
      <c r="BR43" s="587">
        <f t="shared" si="80"/>
        <v>8220</v>
      </c>
      <c r="BS43" s="269"/>
      <c r="BT43" s="149"/>
      <c r="BU43" s="150"/>
      <c r="BV43" s="144"/>
      <c r="BW43" s="149"/>
      <c r="BX43" s="161"/>
      <c r="BY43" s="99"/>
      <c r="BZ43" s="100"/>
      <c r="CA43" s="101"/>
      <c r="CB43" s="99">
        <f t="shared" si="81"/>
        <v>0</v>
      </c>
      <c r="CC43" s="100">
        <f t="shared" si="81"/>
        <v>0</v>
      </c>
      <c r="CD43" s="101">
        <f t="shared" si="81"/>
        <v>0</v>
      </c>
      <c r="CE43" s="99"/>
      <c r="CF43" s="100"/>
      <c r="CG43" s="136"/>
      <c r="CH43" s="99"/>
      <c r="CI43" s="100"/>
      <c r="CJ43" s="101"/>
      <c r="CK43" s="99"/>
      <c r="CL43" s="100"/>
      <c r="CM43" s="101"/>
      <c r="CN43" s="99">
        <f t="shared" si="82"/>
        <v>0</v>
      </c>
      <c r="CO43" s="100">
        <f t="shared" si="82"/>
        <v>0</v>
      </c>
      <c r="CP43" s="101">
        <f t="shared" si="82"/>
        <v>0</v>
      </c>
      <c r="CQ43" s="396">
        <v>1000</v>
      </c>
      <c r="CR43" s="396">
        <v>1000</v>
      </c>
      <c r="CS43" s="394">
        <v>1000</v>
      </c>
      <c r="CT43" s="391">
        <f>CQ43+CR43+CS43</f>
        <v>3000</v>
      </c>
      <c r="CU43" s="390">
        <v>1000</v>
      </c>
      <c r="CV43" s="390">
        <v>1000</v>
      </c>
      <c r="CW43" s="390">
        <v>3780</v>
      </c>
      <c r="CX43" s="588"/>
      <c r="CY43" s="427">
        <f>AC43-CT43</f>
        <v>-700</v>
      </c>
      <c r="CZ43" s="589"/>
      <c r="DA43" s="411">
        <f>S43-BP43</f>
        <v>4140</v>
      </c>
      <c r="DB43" s="477">
        <f>BP43/12</f>
        <v>535</v>
      </c>
      <c r="DD43" s="590">
        <v>6160</v>
      </c>
      <c r="DE43" s="663">
        <f>BP43-S43</f>
        <v>-4140</v>
      </c>
    </row>
    <row r="44" spans="1:109" s="1" customFormat="1" ht="21.75" customHeight="1" thickBot="1">
      <c r="A44" s="710" t="s">
        <v>139</v>
      </c>
      <c r="B44" s="711"/>
      <c r="C44" s="372">
        <v>4265494.54</v>
      </c>
      <c r="D44" s="67"/>
      <c r="E44" s="264">
        <v>70917873.2</v>
      </c>
      <c r="F44" s="264">
        <v>17314369.079999994</v>
      </c>
      <c r="G44" s="264">
        <v>14472627.702</v>
      </c>
      <c r="H44" s="206">
        <v>70884660</v>
      </c>
      <c r="I44" s="206">
        <v>0</v>
      </c>
      <c r="J44" s="356">
        <f aca="true" t="shared" si="83" ref="J44:O44">J9+J14+J17+J21+J25+J34+J38+J39+J40</f>
        <v>5961000</v>
      </c>
      <c r="K44" s="356">
        <f t="shared" si="83"/>
        <v>5921000</v>
      </c>
      <c r="L44" s="356">
        <f t="shared" si="83"/>
        <v>5936000</v>
      </c>
      <c r="M44" s="356">
        <f t="shared" si="83"/>
        <v>14601950</v>
      </c>
      <c r="N44" s="356">
        <f t="shared" si="83"/>
        <v>5909822.766666667</v>
      </c>
      <c r="O44" s="356">
        <f t="shared" si="83"/>
        <v>721026.4400000004</v>
      </c>
      <c r="P44" s="356"/>
      <c r="Q44" s="356">
        <f aca="true" t="shared" si="84" ref="Q44:AV44">Q9+Q14+Q17+Q21+Q25+Q34+Q38+Q39+Q40</f>
        <v>10960380</v>
      </c>
      <c r="R44" s="356">
        <f t="shared" si="84"/>
        <v>36721860</v>
      </c>
      <c r="S44" s="356">
        <f t="shared" si="84"/>
        <v>95351850</v>
      </c>
      <c r="T44" s="472">
        <f t="shared" si="84"/>
        <v>6946161.89</v>
      </c>
      <c r="U44" s="472">
        <f t="shared" si="84"/>
        <v>1438954.51</v>
      </c>
      <c r="V44" s="472">
        <f t="shared" si="84"/>
        <v>3789401.1900000004</v>
      </c>
      <c r="W44" s="472">
        <f t="shared" si="84"/>
        <v>7222468.1</v>
      </c>
      <c r="X44" s="472">
        <f t="shared" si="84"/>
        <v>1844048.04</v>
      </c>
      <c r="Y44" s="472">
        <f t="shared" si="84"/>
        <v>718801.25</v>
      </c>
      <c r="Z44" s="472">
        <f t="shared" si="84"/>
        <v>8018611.589999999</v>
      </c>
      <c r="AA44" s="472">
        <f t="shared" si="84"/>
        <v>2244639.96</v>
      </c>
      <c r="AB44" s="472">
        <f t="shared" si="84"/>
        <v>2081326.4700000002</v>
      </c>
      <c r="AC44" s="472">
        <f t="shared" si="84"/>
        <v>22187241.580000002</v>
      </c>
      <c r="AD44" s="472">
        <f t="shared" si="84"/>
        <v>5527642.51</v>
      </c>
      <c r="AE44" s="472">
        <f t="shared" si="84"/>
        <v>6589528.909999999</v>
      </c>
      <c r="AF44" s="472">
        <f t="shared" si="84"/>
        <v>6979535.11</v>
      </c>
      <c r="AG44" s="472">
        <f t="shared" si="84"/>
        <v>3089518.0500000003</v>
      </c>
      <c r="AH44" s="472">
        <f t="shared" si="84"/>
        <v>1625424.9100000001</v>
      </c>
      <c r="AI44" s="472">
        <f t="shared" si="84"/>
        <v>7252984.69</v>
      </c>
      <c r="AJ44" s="472">
        <f t="shared" si="84"/>
        <v>3188907.91</v>
      </c>
      <c r="AK44" s="472">
        <f t="shared" si="84"/>
        <v>1844038.43</v>
      </c>
      <c r="AL44" s="472">
        <f t="shared" si="84"/>
        <v>7358798.98</v>
      </c>
      <c r="AM44" s="472">
        <f t="shared" si="84"/>
        <v>4150632.98</v>
      </c>
      <c r="AN44" s="472">
        <f t="shared" si="84"/>
        <v>1393686.67</v>
      </c>
      <c r="AO44" s="494">
        <f t="shared" si="84"/>
        <v>21591318.780000005</v>
      </c>
      <c r="AP44" s="494">
        <f t="shared" si="84"/>
        <v>10429058.94</v>
      </c>
      <c r="AQ44" s="523">
        <f t="shared" si="84"/>
        <v>4863150.010000001</v>
      </c>
      <c r="AR44" s="472">
        <f t="shared" si="84"/>
        <v>7344183.1899999995</v>
      </c>
      <c r="AS44" s="472">
        <f t="shared" si="84"/>
        <v>2574192.25</v>
      </c>
      <c r="AT44" s="472">
        <f t="shared" si="84"/>
        <v>3975502.07</v>
      </c>
      <c r="AU44" s="472">
        <f t="shared" si="84"/>
        <v>8112635.96</v>
      </c>
      <c r="AV44" s="472">
        <f t="shared" si="84"/>
        <v>2592834.24</v>
      </c>
      <c r="AW44" s="472">
        <f aca="true" t="shared" si="85" ref="AW44:CB44">AW9+AW14+AW17+AW21+AW25+AW34+AW38+AW39+AW40</f>
        <v>2772959.52</v>
      </c>
      <c r="AX44" s="628">
        <f t="shared" si="85"/>
        <v>8504202.640000002</v>
      </c>
      <c r="AY44" s="628">
        <f t="shared" si="85"/>
        <v>2228480.2399999998</v>
      </c>
      <c r="AZ44" s="530">
        <f t="shared" si="85"/>
        <v>2802387.74</v>
      </c>
      <c r="BA44" s="472">
        <f t="shared" si="85"/>
        <v>23961021.79</v>
      </c>
      <c r="BB44" s="472">
        <f t="shared" si="85"/>
        <v>7395506.7299999995</v>
      </c>
      <c r="BC44" s="472">
        <f t="shared" si="85"/>
        <v>9550849.330000004</v>
      </c>
      <c r="BD44" s="472">
        <f t="shared" si="85"/>
        <v>7735664.32</v>
      </c>
      <c r="BE44" s="472">
        <f t="shared" si="85"/>
        <v>2824631.5</v>
      </c>
      <c r="BF44" s="472">
        <f t="shared" si="85"/>
        <v>4336039.159999999</v>
      </c>
      <c r="BG44" s="472">
        <f t="shared" si="85"/>
        <v>8228741.2299999995</v>
      </c>
      <c r="BH44" s="472">
        <f t="shared" si="85"/>
        <v>2641143.26</v>
      </c>
      <c r="BI44" s="472">
        <f t="shared" si="85"/>
        <v>2576119.16</v>
      </c>
      <c r="BJ44" s="472">
        <f t="shared" si="85"/>
        <v>8792302.05</v>
      </c>
      <c r="BK44" s="472">
        <f t="shared" si="85"/>
        <v>4383442.38</v>
      </c>
      <c r="BL44" s="472">
        <f t="shared" si="85"/>
        <v>1944761.62</v>
      </c>
      <c r="BM44" s="472">
        <f t="shared" si="85"/>
        <v>24756707.600000005</v>
      </c>
      <c r="BN44" s="472">
        <f t="shared" si="85"/>
        <v>9849217.14</v>
      </c>
      <c r="BO44" s="472">
        <f t="shared" si="85"/>
        <v>8856919.939999998</v>
      </c>
      <c r="BP44" s="472">
        <f t="shared" si="85"/>
        <v>93268139.75</v>
      </c>
      <c r="BQ44" s="472">
        <f t="shared" si="85"/>
        <v>33201425.32</v>
      </c>
      <c r="BR44" s="472">
        <f t="shared" si="85"/>
        <v>29860448.19</v>
      </c>
      <c r="BS44" s="206">
        <f t="shared" si="85"/>
        <v>0</v>
      </c>
      <c r="BT44" s="206">
        <f t="shared" si="85"/>
        <v>0</v>
      </c>
      <c r="BU44" s="206">
        <f t="shared" si="85"/>
        <v>0</v>
      </c>
      <c r="BV44" s="206">
        <f t="shared" si="85"/>
        <v>0</v>
      </c>
      <c r="BW44" s="206">
        <f t="shared" si="85"/>
        <v>0</v>
      </c>
      <c r="BX44" s="206">
        <f t="shared" si="85"/>
        <v>0</v>
      </c>
      <c r="BY44" s="206">
        <f t="shared" si="85"/>
        <v>0</v>
      </c>
      <c r="BZ44" s="206">
        <f t="shared" si="85"/>
        <v>0</v>
      </c>
      <c r="CA44" s="206">
        <f t="shared" si="85"/>
        <v>0</v>
      </c>
      <c r="CB44" s="206">
        <f t="shared" si="85"/>
        <v>0</v>
      </c>
      <c r="CC44" s="206">
        <f aca="true" t="shared" si="86" ref="CC44:DE44">CC9+CC14+CC17+CC21+CC25+CC34+CC38+CC39+CC40</f>
        <v>0</v>
      </c>
      <c r="CD44" s="206">
        <f t="shared" si="86"/>
        <v>0</v>
      </c>
      <c r="CE44" s="206">
        <f t="shared" si="86"/>
        <v>0</v>
      </c>
      <c r="CF44" s="206">
        <f t="shared" si="86"/>
        <v>0</v>
      </c>
      <c r="CG44" s="206">
        <f t="shared" si="86"/>
        <v>0</v>
      </c>
      <c r="CH44" s="206">
        <f t="shared" si="86"/>
        <v>0</v>
      </c>
      <c r="CI44" s="206">
        <f t="shared" si="86"/>
        <v>0</v>
      </c>
      <c r="CJ44" s="206">
        <f t="shared" si="86"/>
        <v>0</v>
      </c>
      <c r="CK44" s="206">
        <f t="shared" si="86"/>
        <v>0</v>
      </c>
      <c r="CL44" s="206">
        <f t="shared" si="86"/>
        <v>0</v>
      </c>
      <c r="CM44" s="206">
        <f t="shared" si="86"/>
        <v>0</v>
      </c>
      <c r="CN44" s="206">
        <f t="shared" si="86"/>
        <v>0</v>
      </c>
      <c r="CO44" s="206">
        <f t="shared" si="86"/>
        <v>0</v>
      </c>
      <c r="CP44" s="206">
        <f t="shared" si="86"/>
        <v>0</v>
      </c>
      <c r="CQ44" s="206">
        <f t="shared" si="86"/>
        <v>5019000</v>
      </c>
      <c r="CR44" s="206">
        <f t="shared" si="86"/>
        <v>5259000</v>
      </c>
      <c r="CS44" s="206">
        <f t="shared" si="86"/>
        <v>5195000</v>
      </c>
      <c r="CT44" s="206">
        <f t="shared" si="86"/>
        <v>15473000</v>
      </c>
      <c r="CU44" s="206">
        <f t="shared" si="86"/>
        <v>7702000</v>
      </c>
      <c r="CV44" s="206">
        <f t="shared" si="86"/>
        <v>6000000</v>
      </c>
      <c r="CW44" s="206">
        <f t="shared" si="86"/>
        <v>22376600</v>
      </c>
      <c r="CX44" s="467">
        <f t="shared" si="86"/>
        <v>6843528.099999998</v>
      </c>
      <c r="CY44" s="206">
        <f t="shared" si="86"/>
        <v>1397468.8399999996</v>
      </c>
      <c r="CZ44" s="198">
        <f t="shared" si="86"/>
        <v>-1683736.3699999999</v>
      </c>
      <c r="DA44" s="198">
        <f t="shared" si="86"/>
        <v>-16869.25</v>
      </c>
      <c r="DB44" s="198">
        <f t="shared" si="86"/>
        <v>7625078.3125</v>
      </c>
      <c r="DC44" s="198">
        <f t="shared" si="86"/>
        <v>0</v>
      </c>
      <c r="DD44" s="198">
        <f t="shared" si="86"/>
        <v>69756649.2</v>
      </c>
      <c r="DE44" s="198">
        <f t="shared" si="86"/>
        <v>1164171.7999999975</v>
      </c>
    </row>
    <row r="45" spans="1:109" s="8" customFormat="1" ht="12.75" customHeight="1">
      <c r="A45" s="2" t="s">
        <v>19</v>
      </c>
      <c r="B45" s="66" t="s">
        <v>37</v>
      </c>
      <c r="C45" s="373">
        <v>2653583.86</v>
      </c>
      <c r="D45" s="64"/>
      <c r="E45" s="69">
        <v>59256171.57</v>
      </c>
      <c r="F45" s="69">
        <v>10060363.729999999</v>
      </c>
      <c r="G45" s="69">
        <v>8868725.6</v>
      </c>
      <c r="H45" s="304">
        <v>58212120</v>
      </c>
      <c r="I45" s="69">
        <v>0</v>
      </c>
      <c r="J45" s="304">
        <f aca="true" t="shared" si="87" ref="J45:O45">J9+J17+J25+J34+J38+J39</f>
        <v>4904000</v>
      </c>
      <c r="K45" s="304">
        <f t="shared" si="87"/>
        <v>4896000</v>
      </c>
      <c r="L45" s="304">
        <f t="shared" si="87"/>
        <v>4911000</v>
      </c>
      <c r="M45" s="304">
        <f t="shared" si="87"/>
        <v>11922000</v>
      </c>
      <c r="N45" s="304">
        <f t="shared" si="87"/>
        <v>4938014.297499999</v>
      </c>
      <c r="O45" s="304">
        <f t="shared" si="87"/>
        <v>554025.3000000003</v>
      </c>
      <c r="P45" s="304"/>
      <c r="Q45" s="304">
        <f aca="true" t="shared" si="88" ref="Q45:AV45">Q9+Q17+Q25+Q34+Q38+Q39</f>
        <v>7039200</v>
      </c>
      <c r="R45" s="304">
        <f t="shared" si="88"/>
        <v>28105900</v>
      </c>
      <c r="S45" s="304">
        <f t="shared" si="88"/>
        <v>73552240</v>
      </c>
      <c r="T45" s="348">
        <f t="shared" si="88"/>
        <v>5577969.6899999995</v>
      </c>
      <c r="U45" s="348">
        <f t="shared" si="88"/>
        <v>836803.0000000001</v>
      </c>
      <c r="V45" s="348">
        <f t="shared" si="88"/>
        <v>2421822.8400000003</v>
      </c>
      <c r="W45" s="348">
        <f t="shared" si="88"/>
        <v>5725240.759999999</v>
      </c>
      <c r="X45" s="348">
        <f t="shared" si="88"/>
        <v>1161510</v>
      </c>
      <c r="Y45" s="348">
        <f t="shared" si="88"/>
        <v>408889.55000000005</v>
      </c>
      <c r="Z45" s="348">
        <f t="shared" si="88"/>
        <v>6335363.259999999</v>
      </c>
      <c r="AA45" s="348">
        <f t="shared" si="88"/>
        <v>1259311.35</v>
      </c>
      <c r="AB45" s="348">
        <f t="shared" si="88"/>
        <v>817694.0299999999</v>
      </c>
      <c r="AC45" s="348">
        <f t="shared" si="88"/>
        <v>17638573.71</v>
      </c>
      <c r="AD45" s="348">
        <f t="shared" si="88"/>
        <v>3257624.35</v>
      </c>
      <c r="AE45" s="348">
        <f t="shared" si="88"/>
        <v>3648406.42</v>
      </c>
      <c r="AF45" s="348">
        <f t="shared" si="88"/>
        <v>5591435.670000001</v>
      </c>
      <c r="AG45" s="348">
        <f t="shared" si="88"/>
        <v>2014665.45</v>
      </c>
      <c r="AH45" s="348">
        <f t="shared" si="88"/>
        <v>1023299.5100000001</v>
      </c>
      <c r="AI45" s="348">
        <f t="shared" si="88"/>
        <v>5757619.87</v>
      </c>
      <c r="AJ45" s="348">
        <f t="shared" si="88"/>
        <v>1959611.01</v>
      </c>
      <c r="AK45" s="348">
        <f t="shared" si="88"/>
        <v>1161500.39</v>
      </c>
      <c r="AL45" s="348">
        <f t="shared" si="88"/>
        <v>5937091.05</v>
      </c>
      <c r="AM45" s="348">
        <f t="shared" si="88"/>
        <v>1460748.13</v>
      </c>
      <c r="AN45" s="348">
        <f t="shared" si="88"/>
        <v>978710.0199999999</v>
      </c>
      <c r="AO45" s="348">
        <f t="shared" si="88"/>
        <v>17286146.59</v>
      </c>
      <c r="AP45" s="348">
        <f t="shared" si="88"/>
        <v>5435024.59</v>
      </c>
      <c r="AQ45" s="524">
        <f t="shared" si="88"/>
        <v>3163509.92</v>
      </c>
      <c r="AR45" s="348">
        <f t="shared" si="88"/>
        <v>5960902.02</v>
      </c>
      <c r="AS45" s="348">
        <f t="shared" si="88"/>
        <v>1343106.9400000002</v>
      </c>
      <c r="AT45" s="348">
        <f t="shared" si="88"/>
        <v>2295266.78</v>
      </c>
      <c r="AU45" s="348">
        <f t="shared" si="88"/>
        <v>6383605.580000001</v>
      </c>
      <c r="AV45" s="348">
        <f t="shared" si="88"/>
        <v>997195.0800000001</v>
      </c>
      <c r="AW45" s="348">
        <f aca="true" t="shared" si="89" ref="AW45:CB45">AW9+AW17+AW25+AW34+AW38+AW39</f>
        <v>1578693.3499999999</v>
      </c>
      <c r="AX45" s="457">
        <f t="shared" si="89"/>
        <v>6602096.85</v>
      </c>
      <c r="AY45" s="457">
        <f t="shared" si="89"/>
        <v>1944743.95</v>
      </c>
      <c r="AZ45" s="531">
        <f t="shared" si="89"/>
        <v>112497.59</v>
      </c>
      <c r="BA45" s="348">
        <f t="shared" si="89"/>
        <v>18946604.45</v>
      </c>
      <c r="BB45" s="348">
        <f t="shared" si="89"/>
        <v>4285045.970000001</v>
      </c>
      <c r="BC45" s="348">
        <f t="shared" si="89"/>
        <v>3986457.7200000007</v>
      </c>
      <c r="BD45" s="348">
        <f t="shared" si="89"/>
        <v>6000790.789999999</v>
      </c>
      <c r="BE45" s="348">
        <f t="shared" si="89"/>
        <v>591550.85</v>
      </c>
      <c r="BF45" s="348">
        <f t="shared" si="89"/>
        <v>3072275.14</v>
      </c>
      <c r="BG45" s="348">
        <f t="shared" si="89"/>
        <v>6316275.43</v>
      </c>
      <c r="BH45" s="348">
        <f t="shared" si="89"/>
        <v>1504973.44</v>
      </c>
      <c r="BI45" s="348">
        <f t="shared" si="89"/>
        <v>997195.0800000001</v>
      </c>
      <c r="BJ45" s="348">
        <f t="shared" si="89"/>
        <v>7034068.199999999</v>
      </c>
      <c r="BK45" s="348">
        <f t="shared" si="89"/>
        <v>2304490.34</v>
      </c>
      <c r="BL45" s="348">
        <f t="shared" si="89"/>
        <v>1944761.62</v>
      </c>
      <c r="BM45" s="348">
        <f t="shared" si="89"/>
        <v>19351134.42</v>
      </c>
      <c r="BN45" s="348">
        <f t="shared" si="89"/>
        <v>4401014.63</v>
      </c>
      <c r="BO45" s="348">
        <f t="shared" si="89"/>
        <v>6014231.84</v>
      </c>
      <c r="BP45" s="441">
        <f t="shared" si="89"/>
        <v>73823539.17</v>
      </c>
      <c r="BQ45" s="441">
        <f t="shared" si="89"/>
        <v>17378709.54</v>
      </c>
      <c r="BR45" s="457">
        <f t="shared" si="89"/>
        <v>16812605.900000002</v>
      </c>
      <c r="BS45" s="442">
        <f t="shared" si="89"/>
        <v>0</v>
      </c>
      <c r="BT45" s="442">
        <f t="shared" si="89"/>
        <v>0</v>
      </c>
      <c r="BU45" s="442">
        <f t="shared" si="89"/>
        <v>0</v>
      </c>
      <c r="BV45" s="442">
        <f t="shared" si="89"/>
        <v>0</v>
      </c>
      <c r="BW45" s="442">
        <f t="shared" si="89"/>
        <v>0</v>
      </c>
      <c r="BX45" s="442">
        <f t="shared" si="89"/>
        <v>0</v>
      </c>
      <c r="BY45" s="442">
        <f t="shared" si="89"/>
        <v>0</v>
      </c>
      <c r="BZ45" s="442">
        <f t="shared" si="89"/>
        <v>0</v>
      </c>
      <c r="CA45" s="442">
        <f t="shared" si="89"/>
        <v>0</v>
      </c>
      <c r="CB45" s="442">
        <f t="shared" si="89"/>
        <v>0</v>
      </c>
      <c r="CC45" s="442">
        <f aca="true" t="shared" si="90" ref="CC45:DE45">CC9+CC17+CC25+CC34+CC38+CC39</f>
        <v>0</v>
      </c>
      <c r="CD45" s="442">
        <f t="shared" si="90"/>
        <v>0</v>
      </c>
      <c r="CE45" s="442">
        <f t="shared" si="90"/>
        <v>0</v>
      </c>
      <c r="CF45" s="442">
        <f t="shared" si="90"/>
        <v>0</v>
      </c>
      <c r="CG45" s="442">
        <f t="shared" si="90"/>
        <v>0</v>
      </c>
      <c r="CH45" s="442">
        <f t="shared" si="90"/>
        <v>0</v>
      </c>
      <c r="CI45" s="442">
        <f t="shared" si="90"/>
        <v>0</v>
      </c>
      <c r="CJ45" s="442">
        <f t="shared" si="90"/>
        <v>0</v>
      </c>
      <c r="CK45" s="442">
        <f t="shared" si="90"/>
        <v>0</v>
      </c>
      <c r="CL45" s="442">
        <f t="shared" si="90"/>
        <v>0</v>
      </c>
      <c r="CM45" s="442">
        <f t="shared" si="90"/>
        <v>0</v>
      </c>
      <c r="CN45" s="442">
        <f t="shared" si="90"/>
        <v>0</v>
      </c>
      <c r="CO45" s="442">
        <f t="shared" si="90"/>
        <v>0</v>
      </c>
      <c r="CP45" s="442">
        <f t="shared" si="90"/>
        <v>0</v>
      </c>
      <c r="CQ45" s="442">
        <f t="shared" si="90"/>
        <v>4490000</v>
      </c>
      <c r="CR45" s="442">
        <f t="shared" si="90"/>
        <v>4692000</v>
      </c>
      <c r="CS45" s="442">
        <f t="shared" si="90"/>
        <v>4628000</v>
      </c>
      <c r="CT45" s="442">
        <f t="shared" si="90"/>
        <v>13810000</v>
      </c>
      <c r="CU45" s="442">
        <f t="shared" si="90"/>
        <v>4726000</v>
      </c>
      <c r="CV45" s="442">
        <f t="shared" si="90"/>
        <v>4827000</v>
      </c>
      <c r="CW45" s="442">
        <f t="shared" si="90"/>
        <v>18616370</v>
      </c>
      <c r="CX45" s="373">
        <f t="shared" si="90"/>
        <v>3537907.369999999</v>
      </c>
      <c r="CY45" s="69">
        <f t="shared" si="90"/>
        <v>1436802.7799999996</v>
      </c>
      <c r="CZ45" s="299">
        <f t="shared" si="90"/>
        <v>-1847640.1199999999</v>
      </c>
      <c r="DA45" s="299">
        <f t="shared" si="90"/>
        <v>-16869.25</v>
      </c>
      <c r="DB45" s="299">
        <f t="shared" si="90"/>
        <v>6151961.5975</v>
      </c>
      <c r="DC45" s="299">
        <f t="shared" si="90"/>
        <v>0</v>
      </c>
      <c r="DD45" s="299">
        <f t="shared" si="90"/>
        <v>55724099.2</v>
      </c>
      <c r="DE45" s="299">
        <f t="shared" si="90"/>
        <v>1338935.549999998</v>
      </c>
    </row>
    <row r="46" spans="1:109" s="8" customFormat="1" ht="12.75" customHeight="1" thickBot="1">
      <c r="A46" s="10"/>
      <c r="B46" s="63" t="s">
        <v>20</v>
      </c>
      <c r="C46" s="374">
        <v>180383.01</v>
      </c>
      <c r="D46" s="176"/>
      <c r="E46" s="70">
        <v>2112112.51</v>
      </c>
      <c r="F46" s="70">
        <v>377909.54</v>
      </c>
      <c r="G46" s="70">
        <v>358250</v>
      </c>
      <c r="H46" s="305">
        <v>2196600</v>
      </c>
      <c r="I46" s="70">
        <v>0</v>
      </c>
      <c r="J46" s="305">
        <f aca="true" t="shared" si="91" ref="J46:O46">J21+J40</f>
        <v>184000</v>
      </c>
      <c r="K46" s="305">
        <f t="shared" si="91"/>
        <v>152000</v>
      </c>
      <c r="L46" s="305">
        <f t="shared" si="91"/>
        <v>152000</v>
      </c>
      <c r="M46" s="305">
        <f t="shared" si="91"/>
        <v>306000</v>
      </c>
      <c r="N46" s="305">
        <f t="shared" si="91"/>
        <v>176009.37583333335</v>
      </c>
      <c r="O46" s="305">
        <f t="shared" si="91"/>
        <v>-2838.8599999998696</v>
      </c>
      <c r="P46" s="305"/>
      <c r="Q46" s="305">
        <f aca="true" t="shared" si="92" ref="Q46:AV46">Q21+Q40</f>
        <v>159000</v>
      </c>
      <c r="R46" s="305">
        <f t="shared" si="92"/>
        <v>824380</v>
      </c>
      <c r="S46" s="305">
        <f t="shared" si="92"/>
        <v>1958950</v>
      </c>
      <c r="T46" s="349">
        <f t="shared" si="92"/>
        <v>181218.9</v>
      </c>
      <c r="U46" s="349">
        <f t="shared" si="92"/>
        <v>31974.06</v>
      </c>
      <c r="V46" s="349">
        <f t="shared" si="92"/>
        <v>60000</v>
      </c>
      <c r="W46" s="349">
        <f t="shared" si="92"/>
        <v>168629.28</v>
      </c>
      <c r="X46" s="349">
        <f t="shared" si="92"/>
        <v>0</v>
      </c>
      <c r="Y46" s="349">
        <f t="shared" si="92"/>
        <v>71700.64</v>
      </c>
      <c r="Z46" s="349">
        <f t="shared" si="92"/>
        <v>180095.58000000002</v>
      </c>
      <c r="AA46" s="349">
        <f t="shared" si="92"/>
        <v>0</v>
      </c>
      <c r="AB46" s="349">
        <f t="shared" si="92"/>
        <v>9.36</v>
      </c>
      <c r="AC46" s="349">
        <f t="shared" si="92"/>
        <v>529943.76</v>
      </c>
      <c r="AD46" s="349">
        <f t="shared" si="92"/>
        <v>31974.06</v>
      </c>
      <c r="AE46" s="349">
        <f t="shared" si="92"/>
        <v>131710</v>
      </c>
      <c r="AF46" s="349">
        <f t="shared" si="92"/>
        <v>175494.01</v>
      </c>
      <c r="AG46" s="349">
        <f t="shared" si="92"/>
        <v>0</v>
      </c>
      <c r="AH46" s="349">
        <f t="shared" si="92"/>
        <v>31964.7</v>
      </c>
      <c r="AI46" s="349">
        <f t="shared" si="92"/>
        <v>173751.4</v>
      </c>
      <c r="AJ46" s="349">
        <f t="shared" si="92"/>
        <v>0</v>
      </c>
      <c r="AK46" s="349">
        <f t="shared" si="92"/>
        <v>0</v>
      </c>
      <c r="AL46" s="349">
        <f t="shared" si="92"/>
        <v>154528.37</v>
      </c>
      <c r="AM46" s="349">
        <f t="shared" si="92"/>
        <v>0</v>
      </c>
      <c r="AN46" s="349">
        <f t="shared" si="92"/>
        <v>0</v>
      </c>
      <c r="AO46" s="349">
        <f t="shared" si="92"/>
        <v>503773.78</v>
      </c>
      <c r="AP46" s="349">
        <f t="shared" si="92"/>
        <v>0</v>
      </c>
      <c r="AQ46" s="525">
        <f t="shared" si="92"/>
        <v>31964.7</v>
      </c>
      <c r="AR46" s="349">
        <f t="shared" si="92"/>
        <v>182611.46</v>
      </c>
      <c r="AS46" s="349">
        <f t="shared" si="92"/>
        <v>66771.22</v>
      </c>
      <c r="AT46" s="349">
        <f t="shared" si="92"/>
        <v>0</v>
      </c>
      <c r="AU46" s="349">
        <f t="shared" si="92"/>
        <v>208725.6</v>
      </c>
      <c r="AV46" s="349">
        <f t="shared" si="92"/>
        <v>0</v>
      </c>
      <c r="AW46" s="349">
        <f aca="true" t="shared" si="93" ref="AW46:CB46">AW21+AW40</f>
        <v>0</v>
      </c>
      <c r="AX46" s="458">
        <f t="shared" si="93"/>
        <v>163479.34</v>
      </c>
      <c r="AY46" s="458">
        <f t="shared" si="93"/>
        <v>0</v>
      </c>
      <c r="AZ46" s="532">
        <f t="shared" si="93"/>
        <v>5.3</v>
      </c>
      <c r="BA46" s="349">
        <f t="shared" si="93"/>
        <v>554816.4</v>
      </c>
      <c r="BB46" s="349">
        <f t="shared" si="93"/>
        <v>66771.22</v>
      </c>
      <c r="BC46" s="349">
        <f t="shared" si="93"/>
        <v>5.3</v>
      </c>
      <c r="BD46" s="349">
        <f t="shared" si="93"/>
        <v>148339.65</v>
      </c>
      <c r="BE46" s="349">
        <f t="shared" si="93"/>
        <v>28251.71</v>
      </c>
      <c r="BF46" s="349">
        <f t="shared" si="93"/>
        <v>66765.92</v>
      </c>
      <c r="BG46" s="349">
        <f t="shared" si="93"/>
        <v>151542.38</v>
      </c>
      <c r="BH46" s="349">
        <f t="shared" si="93"/>
        <v>31278.64</v>
      </c>
      <c r="BI46" s="349">
        <f t="shared" si="93"/>
        <v>0</v>
      </c>
      <c r="BJ46" s="349">
        <f t="shared" si="93"/>
        <v>175128.64</v>
      </c>
      <c r="BK46" s="349">
        <f t="shared" si="93"/>
        <v>22497.6</v>
      </c>
      <c r="BL46" s="349">
        <f t="shared" si="93"/>
        <v>0</v>
      </c>
      <c r="BM46" s="349">
        <f t="shared" si="93"/>
        <v>475010.67</v>
      </c>
      <c r="BN46" s="349">
        <f t="shared" si="93"/>
        <v>82027.95</v>
      </c>
      <c r="BO46" s="349">
        <f t="shared" si="93"/>
        <v>66765.92</v>
      </c>
      <c r="BP46" s="443">
        <f t="shared" si="93"/>
        <v>2064474.6099999999</v>
      </c>
      <c r="BQ46" s="443">
        <f t="shared" si="93"/>
        <v>180773.22999999998</v>
      </c>
      <c r="BR46" s="458">
        <f t="shared" si="93"/>
        <v>230445.91999999998</v>
      </c>
      <c r="BS46" s="444">
        <f t="shared" si="93"/>
        <v>0</v>
      </c>
      <c r="BT46" s="444">
        <f t="shared" si="93"/>
        <v>0</v>
      </c>
      <c r="BU46" s="444">
        <f t="shared" si="93"/>
        <v>0</v>
      </c>
      <c r="BV46" s="444">
        <f t="shared" si="93"/>
        <v>0</v>
      </c>
      <c r="BW46" s="444">
        <f t="shared" si="93"/>
        <v>0</v>
      </c>
      <c r="BX46" s="444">
        <f t="shared" si="93"/>
        <v>0</v>
      </c>
      <c r="BY46" s="444">
        <f t="shared" si="93"/>
        <v>0</v>
      </c>
      <c r="BZ46" s="444">
        <f t="shared" si="93"/>
        <v>0</v>
      </c>
      <c r="CA46" s="444">
        <f t="shared" si="93"/>
        <v>0</v>
      </c>
      <c r="CB46" s="444">
        <f t="shared" si="93"/>
        <v>0</v>
      </c>
      <c r="CC46" s="444">
        <f aca="true" t="shared" si="94" ref="CC46:DE46">CC21+CC40</f>
        <v>0</v>
      </c>
      <c r="CD46" s="444">
        <f t="shared" si="94"/>
        <v>0</v>
      </c>
      <c r="CE46" s="444">
        <f t="shared" si="94"/>
        <v>0</v>
      </c>
      <c r="CF46" s="444">
        <f t="shared" si="94"/>
        <v>0</v>
      </c>
      <c r="CG46" s="444">
        <f t="shared" si="94"/>
        <v>0</v>
      </c>
      <c r="CH46" s="444">
        <f t="shared" si="94"/>
        <v>0</v>
      </c>
      <c r="CI46" s="444">
        <f t="shared" si="94"/>
        <v>0</v>
      </c>
      <c r="CJ46" s="444">
        <f t="shared" si="94"/>
        <v>0</v>
      </c>
      <c r="CK46" s="444">
        <f t="shared" si="94"/>
        <v>0</v>
      </c>
      <c r="CL46" s="444">
        <f t="shared" si="94"/>
        <v>0</v>
      </c>
      <c r="CM46" s="444">
        <f t="shared" si="94"/>
        <v>0</v>
      </c>
      <c r="CN46" s="444">
        <f t="shared" si="94"/>
        <v>0</v>
      </c>
      <c r="CO46" s="444">
        <f t="shared" si="94"/>
        <v>0</v>
      </c>
      <c r="CP46" s="444">
        <f t="shared" si="94"/>
        <v>0</v>
      </c>
      <c r="CQ46" s="444">
        <f t="shared" si="94"/>
        <v>170000</v>
      </c>
      <c r="CR46" s="444">
        <f t="shared" si="94"/>
        <v>183000</v>
      </c>
      <c r="CS46" s="444">
        <f t="shared" si="94"/>
        <v>183000</v>
      </c>
      <c r="CT46" s="444">
        <f t="shared" si="94"/>
        <v>536000</v>
      </c>
      <c r="CU46" s="444">
        <f t="shared" si="94"/>
        <v>200000</v>
      </c>
      <c r="CV46" s="444">
        <f t="shared" si="94"/>
        <v>197000</v>
      </c>
      <c r="CW46" s="444">
        <f t="shared" si="94"/>
        <v>730810</v>
      </c>
      <c r="CX46" s="468">
        <f t="shared" si="94"/>
        <v>63881.630000000005</v>
      </c>
      <c r="CY46" s="70">
        <f t="shared" si="94"/>
        <v>-39333.94</v>
      </c>
      <c r="CZ46" s="300">
        <f t="shared" si="94"/>
        <v>116.77000000001863</v>
      </c>
      <c r="DA46" s="300">
        <f t="shared" si="94"/>
        <v>0</v>
      </c>
      <c r="DB46" s="300">
        <f t="shared" si="94"/>
        <v>24772.884166666667</v>
      </c>
      <c r="DC46" s="300">
        <f t="shared" si="94"/>
        <v>0</v>
      </c>
      <c r="DD46" s="300">
        <f t="shared" si="94"/>
        <v>1455620</v>
      </c>
      <c r="DE46" s="300">
        <f t="shared" si="94"/>
        <v>-10976.770000000019</v>
      </c>
    </row>
    <row r="47" spans="1:109" s="8" customFormat="1" ht="15" customHeight="1" thickBot="1">
      <c r="A47" s="26" t="s">
        <v>19</v>
      </c>
      <c r="B47" s="27"/>
      <c r="C47" s="364">
        <v>4265494.54</v>
      </c>
      <c r="D47" s="28"/>
      <c r="E47" s="93"/>
      <c r="F47" s="93"/>
      <c r="G47" s="335" t="s">
        <v>110</v>
      </c>
      <c r="H47" s="302">
        <v>17341305</v>
      </c>
      <c r="I47" s="302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526"/>
      <c r="AR47" s="347"/>
      <c r="AS47" s="347"/>
      <c r="AT47" s="347"/>
      <c r="AU47" s="347"/>
      <c r="AV47" s="347"/>
      <c r="AW47" s="347"/>
      <c r="AX47" s="274"/>
      <c r="AY47" s="274"/>
      <c r="AZ47" s="533"/>
      <c r="BA47" s="347"/>
      <c r="BB47" s="347"/>
      <c r="BC47" s="347"/>
      <c r="BD47" s="347"/>
      <c r="BE47" s="347"/>
      <c r="BF47" s="347"/>
      <c r="BG47" s="347"/>
      <c r="BH47" s="347"/>
      <c r="BI47" s="347"/>
      <c r="BJ47" s="347"/>
      <c r="BK47" s="347"/>
      <c r="BL47" s="347"/>
      <c r="BM47" s="347"/>
      <c r="BN47" s="347"/>
      <c r="BO47" s="347"/>
      <c r="BP47" s="445"/>
      <c r="BQ47" s="445"/>
      <c r="BR47" s="692"/>
      <c r="BS47" s="693"/>
      <c r="BT47" s="693"/>
      <c r="BU47" s="693"/>
      <c r="BV47" s="693"/>
      <c r="BW47" s="693"/>
      <c r="BX47" s="693"/>
      <c r="BY47" s="693"/>
      <c r="BZ47" s="693"/>
      <c r="CA47" s="693"/>
      <c r="CB47" s="693"/>
      <c r="CC47" s="693"/>
      <c r="CD47" s="693"/>
      <c r="CE47" s="693"/>
      <c r="CF47" s="693"/>
      <c r="CG47" s="693"/>
      <c r="CH47" s="693"/>
      <c r="CI47" s="693"/>
      <c r="CJ47" s="693"/>
      <c r="CK47" s="693"/>
      <c r="CL47" s="693"/>
      <c r="CM47" s="693"/>
      <c r="CN47" s="693"/>
      <c r="CO47" s="693"/>
      <c r="CP47" s="693"/>
      <c r="CQ47" s="693"/>
      <c r="CR47" s="693"/>
      <c r="CS47" s="693"/>
      <c r="CT47" s="693"/>
      <c r="CU47" s="693"/>
      <c r="CV47" s="693"/>
      <c r="CW47" s="694"/>
      <c r="CX47" s="469">
        <f aca="true" t="shared" si="95" ref="CX47:DE47">CX5+CX12+CX48</f>
        <v>6843528.099999998</v>
      </c>
      <c r="CY47" s="302">
        <f t="shared" si="95"/>
        <v>-134498.88</v>
      </c>
      <c r="CZ47" s="302">
        <f t="shared" si="95"/>
        <v>148264.80000000005</v>
      </c>
      <c r="DA47" s="302">
        <f t="shared" si="95"/>
        <v>0</v>
      </c>
      <c r="DB47" s="302">
        <f t="shared" si="95"/>
        <v>2549077.2</v>
      </c>
      <c r="DC47" s="302">
        <f t="shared" si="95"/>
        <v>0</v>
      </c>
      <c r="DD47" s="302">
        <f t="shared" si="95"/>
        <v>26674899.2</v>
      </c>
      <c r="DE47" s="651">
        <f t="shared" si="95"/>
        <v>-144268.63000000006</v>
      </c>
    </row>
    <row r="48" spans="1:109" ht="18.75" customHeight="1" thickBot="1">
      <c r="A48" s="712" t="s">
        <v>73</v>
      </c>
      <c r="B48" s="713"/>
      <c r="C48" s="375">
        <v>3702741.91</v>
      </c>
      <c r="D48" s="33"/>
      <c r="E48" s="71">
        <v>13221523.87</v>
      </c>
      <c r="F48" s="71">
        <v>13297580.259999998</v>
      </c>
      <c r="G48" s="71">
        <v>12948376.561999999</v>
      </c>
      <c r="H48" s="74">
        <v>13324487</v>
      </c>
      <c r="I48" s="74">
        <v>0</v>
      </c>
      <c r="J48" s="74">
        <f aca="true" t="shared" si="96" ref="J48:O48">J7+J13+J15+J25+J27+J28+J38+J40</f>
        <v>963000</v>
      </c>
      <c r="K48" s="74">
        <f t="shared" si="96"/>
        <v>925000</v>
      </c>
      <c r="L48" s="74">
        <f t="shared" si="96"/>
        <v>1236000</v>
      </c>
      <c r="M48" s="74">
        <f t="shared" si="96"/>
        <v>2442950</v>
      </c>
      <c r="N48" s="74">
        <f t="shared" si="96"/>
        <v>1105862.3169444446</v>
      </c>
      <c r="O48" s="74">
        <f t="shared" si="96"/>
        <v>-26906.739999999907</v>
      </c>
      <c r="P48" s="74"/>
      <c r="Q48" s="74">
        <f aca="true" t="shared" si="97" ref="Q48:AV48">Q7+Q13+Q15+Q25+Q27+Q28+Q38+Q40</f>
        <v>1682410</v>
      </c>
      <c r="R48" s="74">
        <f t="shared" si="97"/>
        <v>5405090</v>
      </c>
      <c r="S48" s="74">
        <f t="shared" si="97"/>
        <v>15053309.05</v>
      </c>
      <c r="T48" s="165">
        <f t="shared" si="97"/>
        <v>1067359.24</v>
      </c>
      <c r="U48" s="165">
        <f t="shared" si="97"/>
        <v>547728.65</v>
      </c>
      <c r="V48" s="165">
        <f t="shared" si="97"/>
        <v>2536806.45</v>
      </c>
      <c r="W48" s="165">
        <f t="shared" si="97"/>
        <v>1138922.82</v>
      </c>
      <c r="X48" s="165">
        <f t="shared" si="97"/>
        <v>955458.84</v>
      </c>
      <c r="Y48" s="165">
        <f t="shared" si="97"/>
        <v>457017.66</v>
      </c>
      <c r="Z48" s="165">
        <f t="shared" si="97"/>
        <v>1309039.0100000002</v>
      </c>
      <c r="AA48" s="165">
        <f t="shared" si="97"/>
        <v>1023742.03</v>
      </c>
      <c r="AB48" s="165">
        <f t="shared" si="97"/>
        <v>1096326.2700000003</v>
      </c>
      <c r="AC48" s="165">
        <f t="shared" si="97"/>
        <v>3515321.07</v>
      </c>
      <c r="AD48" s="165">
        <f t="shared" si="97"/>
        <v>2526929.52</v>
      </c>
      <c r="AE48" s="165">
        <f t="shared" si="97"/>
        <v>4090150.38</v>
      </c>
      <c r="AF48" s="165">
        <f t="shared" si="97"/>
        <v>908811.81</v>
      </c>
      <c r="AG48" s="165">
        <f t="shared" si="97"/>
        <v>1066950.48</v>
      </c>
      <c r="AH48" s="165">
        <f t="shared" si="97"/>
        <v>734199.0499999999</v>
      </c>
      <c r="AI48" s="165">
        <f t="shared" si="97"/>
        <v>1013488.7100000001</v>
      </c>
      <c r="AJ48" s="165">
        <f t="shared" si="97"/>
        <v>1815601.9000000001</v>
      </c>
      <c r="AK48" s="165">
        <f t="shared" si="97"/>
        <v>955449.2299999999</v>
      </c>
      <c r="AL48" s="165">
        <f t="shared" si="97"/>
        <v>1296050.52</v>
      </c>
      <c r="AM48" s="165">
        <f t="shared" si="97"/>
        <v>1670401.37</v>
      </c>
      <c r="AN48" s="165">
        <f t="shared" si="97"/>
        <v>775726.0599999999</v>
      </c>
      <c r="AO48" s="165">
        <f t="shared" si="97"/>
        <v>3218351.0399999996</v>
      </c>
      <c r="AP48" s="165">
        <f t="shared" si="97"/>
        <v>4552953.75</v>
      </c>
      <c r="AQ48" s="345">
        <f t="shared" si="97"/>
        <v>2465374.3400000003</v>
      </c>
      <c r="AR48" s="165">
        <f t="shared" si="97"/>
        <v>1009167.37</v>
      </c>
      <c r="AS48" s="165">
        <f t="shared" si="97"/>
        <v>1447214.2800000003</v>
      </c>
      <c r="AT48" s="165">
        <f t="shared" si="97"/>
        <v>1314966.45</v>
      </c>
      <c r="AU48" s="165">
        <f t="shared" si="97"/>
        <v>1220355.8399999999</v>
      </c>
      <c r="AV48" s="165">
        <f t="shared" si="97"/>
        <v>912858.1499999999</v>
      </c>
      <c r="AW48" s="165">
        <f aca="true" t="shared" si="98" ref="AW48:BR48">AW7+AW13+AW15+AW25+AW27+AW28+AW38+AW40</f>
        <v>1624684.24</v>
      </c>
      <c r="AX48" s="459">
        <f t="shared" si="98"/>
        <v>1463567.84</v>
      </c>
      <c r="AY48" s="459">
        <f t="shared" si="98"/>
        <v>1328196.5599999998</v>
      </c>
      <c r="AZ48" s="534">
        <f t="shared" si="98"/>
        <v>1053329.05</v>
      </c>
      <c r="BA48" s="165">
        <f t="shared" si="98"/>
        <v>3693091.0500000003</v>
      </c>
      <c r="BB48" s="165">
        <f t="shared" si="98"/>
        <v>3688268.99</v>
      </c>
      <c r="BC48" s="165">
        <f t="shared" si="98"/>
        <v>3992979.74</v>
      </c>
      <c r="BD48" s="165">
        <f t="shared" si="98"/>
        <v>956993.3500000001</v>
      </c>
      <c r="BE48" s="165">
        <f t="shared" si="98"/>
        <v>1194394.4100000001</v>
      </c>
      <c r="BF48" s="165">
        <f t="shared" si="98"/>
        <v>2287888.27</v>
      </c>
      <c r="BG48" s="165">
        <f t="shared" si="98"/>
        <v>1058683.67</v>
      </c>
      <c r="BH48" s="165">
        <f t="shared" si="98"/>
        <v>754171.8999999999</v>
      </c>
      <c r="BI48" s="165">
        <f t="shared" si="98"/>
        <v>896143.0700000001</v>
      </c>
      <c r="BJ48" s="165">
        <f t="shared" si="98"/>
        <v>1085078.86</v>
      </c>
      <c r="BK48" s="165">
        <f t="shared" si="98"/>
        <v>2188325.68</v>
      </c>
      <c r="BL48" s="165">
        <f t="shared" si="98"/>
        <v>1044477.9400000001</v>
      </c>
      <c r="BM48" s="165">
        <f t="shared" si="98"/>
        <v>3100755.8799999994</v>
      </c>
      <c r="BN48" s="165">
        <f t="shared" si="98"/>
        <v>4136891.99</v>
      </c>
      <c r="BO48" s="165">
        <f t="shared" si="98"/>
        <v>4228509.28</v>
      </c>
      <c r="BP48" s="446">
        <f t="shared" si="98"/>
        <v>13527519.04</v>
      </c>
      <c r="BQ48" s="446">
        <f t="shared" si="98"/>
        <v>14905044.25</v>
      </c>
      <c r="BR48" s="459">
        <f t="shared" si="98"/>
        <v>14777013.74</v>
      </c>
      <c r="BS48" s="447">
        <f aca="true" t="shared" si="99" ref="BS48:CW48">BS7+BS13+BS15+BS25+BS28+BS38+BS40+BS27</f>
        <v>0</v>
      </c>
      <c r="BT48" s="447">
        <f t="shared" si="99"/>
        <v>0</v>
      </c>
      <c r="BU48" s="447">
        <f t="shared" si="99"/>
        <v>0</v>
      </c>
      <c r="BV48" s="447">
        <f t="shared" si="99"/>
        <v>0</v>
      </c>
      <c r="BW48" s="447">
        <f t="shared" si="99"/>
        <v>0</v>
      </c>
      <c r="BX48" s="447">
        <f t="shared" si="99"/>
        <v>0</v>
      </c>
      <c r="BY48" s="447">
        <f t="shared" si="99"/>
        <v>0</v>
      </c>
      <c r="BZ48" s="447">
        <f t="shared" si="99"/>
        <v>0</v>
      </c>
      <c r="CA48" s="447">
        <f t="shared" si="99"/>
        <v>0</v>
      </c>
      <c r="CB48" s="447">
        <f t="shared" si="99"/>
        <v>0</v>
      </c>
      <c r="CC48" s="447">
        <f t="shared" si="99"/>
        <v>0</v>
      </c>
      <c r="CD48" s="447">
        <f t="shared" si="99"/>
        <v>0</v>
      </c>
      <c r="CE48" s="447">
        <f t="shared" si="99"/>
        <v>0</v>
      </c>
      <c r="CF48" s="447">
        <f t="shared" si="99"/>
        <v>0</v>
      </c>
      <c r="CG48" s="447">
        <f t="shared" si="99"/>
        <v>0</v>
      </c>
      <c r="CH48" s="447">
        <f t="shared" si="99"/>
        <v>0</v>
      </c>
      <c r="CI48" s="447">
        <f t="shared" si="99"/>
        <v>0</v>
      </c>
      <c r="CJ48" s="447">
        <f t="shared" si="99"/>
        <v>0</v>
      </c>
      <c r="CK48" s="447">
        <f t="shared" si="99"/>
        <v>0</v>
      </c>
      <c r="CL48" s="447">
        <f t="shared" si="99"/>
        <v>0</v>
      </c>
      <c r="CM48" s="447">
        <f t="shared" si="99"/>
        <v>0</v>
      </c>
      <c r="CN48" s="447">
        <f t="shared" si="99"/>
        <v>0</v>
      </c>
      <c r="CO48" s="447">
        <f t="shared" si="99"/>
        <v>0</v>
      </c>
      <c r="CP48" s="447">
        <f t="shared" si="99"/>
        <v>0</v>
      </c>
      <c r="CQ48" s="447">
        <f t="shared" si="99"/>
        <v>1229500</v>
      </c>
      <c r="CR48" s="447">
        <f t="shared" si="99"/>
        <v>1265500</v>
      </c>
      <c r="CS48" s="447">
        <f t="shared" si="99"/>
        <v>1216000</v>
      </c>
      <c r="CT48" s="447">
        <f t="shared" si="99"/>
        <v>3711000</v>
      </c>
      <c r="CU48" s="446">
        <f t="shared" si="99"/>
        <v>3111000</v>
      </c>
      <c r="CV48" s="446">
        <f t="shared" si="99"/>
        <v>1558000</v>
      </c>
      <c r="CW48" s="446">
        <f t="shared" si="99"/>
        <v>4778840</v>
      </c>
      <c r="CX48" s="459">
        <f aca="true" t="shared" si="100" ref="CX48:DE48">CX7+CX13+CX15+CX25+CX27+CX28+CX38+CX40</f>
        <v>4567724.69</v>
      </c>
      <c r="CY48" s="74">
        <f t="shared" si="100"/>
        <v>-134498.88</v>
      </c>
      <c r="CZ48" s="74">
        <f t="shared" si="100"/>
        <v>148264.80000000005</v>
      </c>
      <c r="DA48" s="74">
        <f t="shared" si="100"/>
        <v>0</v>
      </c>
      <c r="DB48" s="74">
        <f t="shared" si="100"/>
        <v>1167119.3100000003</v>
      </c>
      <c r="DC48" s="74">
        <f t="shared" si="100"/>
        <v>0</v>
      </c>
      <c r="DD48" s="74">
        <f t="shared" si="100"/>
        <v>12454049.2</v>
      </c>
      <c r="DE48" s="112">
        <f t="shared" si="100"/>
        <v>-144268.63000000006</v>
      </c>
    </row>
    <row r="49" spans="1:109" ht="18" customHeight="1" thickBot="1">
      <c r="A49" s="53" t="s">
        <v>38</v>
      </c>
      <c r="B49" s="54" t="s">
        <v>48</v>
      </c>
      <c r="C49" s="376">
        <v>0</v>
      </c>
      <c r="D49" s="34"/>
      <c r="E49" s="244">
        <v>54086931.66</v>
      </c>
      <c r="F49" s="312">
        <v>0</v>
      </c>
      <c r="G49" s="312">
        <v>0</v>
      </c>
      <c r="H49" s="313">
        <v>53543355</v>
      </c>
      <c r="I49" s="245">
        <v>0</v>
      </c>
      <c r="J49" s="358">
        <f aca="true" t="shared" si="101" ref="J49:AO49">J8+J10+J21+J26+J29+J30+J31+J32+J33+J39+J16</f>
        <v>4105000</v>
      </c>
      <c r="K49" s="358">
        <f t="shared" si="101"/>
        <v>4103000</v>
      </c>
      <c r="L49" s="358">
        <f t="shared" si="101"/>
        <v>3807000</v>
      </c>
      <c r="M49" s="358">
        <f t="shared" si="101"/>
        <v>9909000</v>
      </c>
      <c r="N49" s="358">
        <f t="shared" si="101"/>
        <v>4507244.305</v>
      </c>
      <c r="O49" s="358">
        <f t="shared" si="101"/>
        <v>543580.3899999973</v>
      </c>
      <c r="P49" s="358">
        <f t="shared" si="101"/>
        <v>0</v>
      </c>
      <c r="Q49" s="358">
        <f t="shared" si="101"/>
        <v>6791000</v>
      </c>
      <c r="R49" s="358">
        <f t="shared" si="101"/>
        <v>24511890</v>
      </c>
      <c r="S49" s="358">
        <f t="shared" si="101"/>
        <v>61305879.879999995</v>
      </c>
      <c r="T49" s="358">
        <f t="shared" si="101"/>
        <v>4916883.82</v>
      </c>
      <c r="U49" s="358">
        <f t="shared" si="101"/>
        <v>0</v>
      </c>
      <c r="V49" s="358">
        <f t="shared" si="101"/>
        <v>0</v>
      </c>
      <c r="W49" s="358">
        <f t="shared" si="101"/>
        <v>5142133.25</v>
      </c>
      <c r="X49" s="358">
        <f t="shared" si="101"/>
        <v>0</v>
      </c>
      <c r="Y49" s="358">
        <f t="shared" si="101"/>
        <v>0</v>
      </c>
      <c r="Z49" s="358">
        <f t="shared" si="101"/>
        <v>5596663.529999999</v>
      </c>
      <c r="AA49" s="358">
        <f t="shared" si="101"/>
        <v>0</v>
      </c>
      <c r="AB49" s="358">
        <f t="shared" si="101"/>
        <v>0</v>
      </c>
      <c r="AC49" s="358">
        <f t="shared" si="101"/>
        <v>15655680.599999998</v>
      </c>
      <c r="AD49" s="358">
        <f t="shared" si="101"/>
        <v>0</v>
      </c>
      <c r="AE49" s="358">
        <f t="shared" si="101"/>
        <v>0</v>
      </c>
      <c r="AF49" s="358">
        <f t="shared" si="101"/>
        <v>4976084.0200000005</v>
      </c>
      <c r="AG49" s="358">
        <f t="shared" si="101"/>
        <v>0</v>
      </c>
      <c r="AH49" s="358">
        <f t="shared" si="101"/>
        <v>0</v>
      </c>
      <c r="AI49" s="358">
        <f t="shared" si="101"/>
        <v>5164319.78</v>
      </c>
      <c r="AJ49" s="358">
        <f t="shared" si="101"/>
        <v>0</v>
      </c>
      <c r="AK49" s="358">
        <f t="shared" si="101"/>
        <v>0</v>
      </c>
      <c r="AL49" s="358">
        <f t="shared" si="101"/>
        <v>4732671.460000001</v>
      </c>
      <c r="AM49" s="358">
        <f t="shared" si="101"/>
        <v>0</v>
      </c>
      <c r="AN49" s="358">
        <f t="shared" si="101"/>
        <v>0</v>
      </c>
      <c r="AO49" s="358">
        <f t="shared" si="101"/>
        <v>14873075.26</v>
      </c>
      <c r="AP49" s="358">
        <f aca="true" t="shared" si="102" ref="AP49:BU49">AP8+AP10+AP21+AP26+AP29+AP30+AP31+AP32+AP33+AP39+AP16</f>
        <v>0</v>
      </c>
      <c r="AQ49" s="527">
        <f t="shared" si="102"/>
        <v>0</v>
      </c>
      <c r="AR49" s="358">
        <f t="shared" si="102"/>
        <v>5000043.83</v>
      </c>
      <c r="AS49" s="358">
        <f t="shared" si="102"/>
        <v>0</v>
      </c>
      <c r="AT49" s="358">
        <f t="shared" si="102"/>
        <v>0</v>
      </c>
      <c r="AU49" s="358">
        <f t="shared" si="102"/>
        <v>5274091.49</v>
      </c>
      <c r="AV49" s="358">
        <f t="shared" si="102"/>
        <v>0</v>
      </c>
      <c r="AW49" s="358">
        <f t="shared" si="102"/>
        <v>0</v>
      </c>
      <c r="AX49" s="358">
        <f t="shared" si="102"/>
        <v>5396005.630000001</v>
      </c>
      <c r="AY49" s="358">
        <f t="shared" si="102"/>
        <v>0</v>
      </c>
      <c r="AZ49" s="535">
        <f t="shared" si="102"/>
        <v>0</v>
      </c>
      <c r="BA49" s="358">
        <f t="shared" si="102"/>
        <v>15670140.95</v>
      </c>
      <c r="BB49" s="358">
        <f t="shared" si="102"/>
        <v>0</v>
      </c>
      <c r="BC49" s="358">
        <f t="shared" si="102"/>
        <v>0</v>
      </c>
      <c r="BD49" s="358">
        <f t="shared" si="102"/>
        <v>5259643.43</v>
      </c>
      <c r="BE49" s="358">
        <f t="shared" si="102"/>
        <v>0</v>
      </c>
      <c r="BF49" s="358">
        <f t="shared" si="102"/>
        <v>0</v>
      </c>
      <c r="BG49" s="358">
        <f t="shared" si="102"/>
        <v>5317984.69</v>
      </c>
      <c r="BH49" s="358">
        <f t="shared" si="102"/>
        <v>0</v>
      </c>
      <c r="BI49" s="358">
        <f t="shared" si="102"/>
        <v>0</v>
      </c>
      <c r="BJ49" s="358">
        <f t="shared" si="102"/>
        <v>5595515.37</v>
      </c>
      <c r="BK49" s="358">
        <f t="shared" si="102"/>
        <v>0</v>
      </c>
      <c r="BL49" s="358">
        <f t="shared" si="102"/>
        <v>0</v>
      </c>
      <c r="BM49" s="358">
        <f t="shared" si="102"/>
        <v>16173143.489999998</v>
      </c>
      <c r="BN49" s="358">
        <f t="shared" si="102"/>
        <v>0</v>
      </c>
      <c r="BO49" s="358">
        <f t="shared" si="102"/>
        <v>0</v>
      </c>
      <c r="BP49" s="358">
        <f t="shared" si="102"/>
        <v>63143890.3</v>
      </c>
      <c r="BQ49" s="358">
        <f t="shared" si="102"/>
        <v>0</v>
      </c>
      <c r="BR49" s="358">
        <f t="shared" si="102"/>
        <v>0</v>
      </c>
      <c r="BS49" s="358">
        <f t="shared" si="102"/>
        <v>0</v>
      </c>
      <c r="BT49" s="358">
        <f t="shared" si="102"/>
        <v>0</v>
      </c>
      <c r="BU49" s="358">
        <f t="shared" si="102"/>
        <v>0</v>
      </c>
      <c r="BV49" s="358">
        <f aca="true" t="shared" si="103" ref="BV49:DA49">BV8+BV10+BV21+BV26+BV29+BV30+BV31+BV32+BV33+BV39+BV16</f>
        <v>0</v>
      </c>
      <c r="BW49" s="358">
        <f t="shared" si="103"/>
        <v>0</v>
      </c>
      <c r="BX49" s="358">
        <f t="shared" si="103"/>
        <v>0</v>
      </c>
      <c r="BY49" s="358">
        <f t="shared" si="103"/>
        <v>0</v>
      </c>
      <c r="BZ49" s="358">
        <f t="shared" si="103"/>
        <v>0</v>
      </c>
      <c r="CA49" s="358">
        <f t="shared" si="103"/>
        <v>0</v>
      </c>
      <c r="CB49" s="358">
        <f t="shared" si="103"/>
        <v>0</v>
      </c>
      <c r="CC49" s="358">
        <f t="shared" si="103"/>
        <v>0</v>
      </c>
      <c r="CD49" s="358">
        <f t="shared" si="103"/>
        <v>0</v>
      </c>
      <c r="CE49" s="358">
        <f t="shared" si="103"/>
        <v>0</v>
      </c>
      <c r="CF49" s="358">
        <f t="shared" si="103"/>
        <v>0</v>
      </c>
      <c r="CG49" s="358">
        <f t="shared" si="103"/>
        <v>0</v>
      </c>
      <c r="CH49" s="358">
        <f t="shared" si="103"/>
        <v>0</v>
      </c>
      <c r="CI49" s="358">
        <f t="shared" si="103"/>
        <v>0</v>
      </c>
      <c r="CJ49" s="358">
        <f t="shared" si="103"/>
        <v>0</v>
      </c>
      <c r="CK49" s="358">
        <f t="shared" si="103"/>
        <v>0</v>
      </c>
      <c r="CL49" s="358">
        <f t="shared" si="103"/>
        <v>0</v>
      </c>
      <c r="CM49" s="358">
        <f t="shared" si="103"/>
        <v>0</v>
      </c>
      <c r="CN49" s="358">
        <f t="shared" si="103"/>
        <v>0</v>
      </c>
      <c r="CO49" s="358">
        <f t="shared" si="103"/>
        <v>0</v>
      </c>
      <c r="CP49" s="358">
        <f t="shared" si="103"/>
        <v>0</v>
      </c>
      <c r="CQ49" s="358">
        <f t="shared" si="103"/>
        <v>3693500</v>
      </c>
      <c r="CR49" s="358">
        <f t="shared" si="103"/>
        <v>3943500</v>
      </c>
      <c r="CS49" s="358">
        <f t="shared" si="103"/>
        <v>3929000</v>
      </c>
      <c r="CT49" s="358">
        <f t="shared" si="103"/>
        <v>11566000</v>
      </c>
      <c r="CU49" s="358">
        <f t="shared" si="103"/>
        <v>4541000</v>
      </c>
      <c r="CV49" s="358">
        <f t="shared" si="103"/>
        <v>4442000</v>
      </c>
      <c r="CW49" s="358">
        <f t="shared" si="103"/>
        <v>16697760</v>
      </c>
      <c r="CX49" s="358">
        <f t="shared" si="103"/>
        <v>0</v>
      </c>
      <c r="CY49" s="358">
        <f t="shared" si="103"/>
        <v>29160.04999999999</v>
      </c>
      <c r="CZ49" s="358">
        <f t="shared" si="103"/>
        <v>0</v>
      </c>
      <c r="DA49" s="358">
        <f t="shared" si="103"/>
        <v>-1848870.42</v>
      </c>
      <c r="DB49" s="245">
        <f>DB8+DB10+DB16+DB21+DB26+DB29+DB30+DB31+DB32+DB33+DB39</f>
        <v>5114724.191666667</v>
      </c>
      <c r="DC49" s="245">
        <f>DC8+DC10+DC16+DC21+DC26+DC29+DC30+DC31+DC32+DC33+DC39</f>
        <v>0</v>
      </c>
      <c r="DD49" s="245">
        <f>DD8+DD10+DD16+DD21+DD26+DD29+DD30+DD31+DD32+DD33+DD39</f>
        <v>52340360</v>
      </c>
      <c r="DE49" s="301">
        <f>DE8+DE10+DE16+DE21+DE26+DE29+DE30+DE31+DE32+DE33+DE39</f>
        <v>88101.73999999977</v>
      </c>
    </row>
    <row r="50" spans="1:109" s="24" customFormat="1" ht="16.5" thickBot="1">
      <c r="A50" s="23"/>
      <c r="B50" s="14"/>
      <c r="C50" s="377"/>
      <c r="D50" s="35"/>
      <c r="E50" s="72"/>
      <c r="F50" s="680" t="s">
        <v>115</v>
      </c>
      <c r="G50" s="681"/>
      <c r="H50" s="314">
        <v>4016818</v>
      </c>
      <c r="I50" s="217"/>
      <c r="J50" s="324"/>
      <c r="K50" s="324"/>
      <c r="L50" s="324"/>
      <c r="M50" s="491"/>
      <c r="N50" s="280"/>
      <c r="O50" s="39"/>
      <c r="P50" s="39"/>
      <c r="Q50" s="174"/>
      <c r="R50" s="174"/>
      <c r="S50" s="174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399"/>
      <c r="BF50" s="399"/>
      <c r="BG50" s="399"/>
      <c r="BH50" s="399"/>
      <c r="BI50" s="399"/>
      <c r="BJ50" s="399"/>
      <c r="BK50" s="399"/>
      <c r="BL50" s="399"/>
      <c r="BM50" s="399"/>
      <c r="BN50" s="399"/>
      <c r="BO50" s="400"/>
      <c r="BP50" s="363"/>
      <c r="BQ50" s="679"/>
      <c r="BR50" s="679"/>
      <c r="BS50" s="362"/>
      <c r="BT50" s="362"/>
      <c r="BU50" s="362"/>
      <c r="BV50" s="362"/>
      <c r="BW50" s="362"/>
      <c r="BX50" s="362"/>
      <c r="BY50" s="363"/>
      <c r="BZ50" s="363"/>
      <c r="CA50" s="363"/>
      <c r="CB50" s="363"/>
      <c r="CC50" s="363"/>
      <c r="CD50" s="363"/>
      <c r="CE50" s="363"/>
      <c r="CF50" s="363"/>
      <c r="CG50" s="363"/>
      <c r="CH50" s="363"/>
      <c r="CI50" s="363"/>
      <c r="CJ50" s="363"/>
      <c r="CK50" s="363"/>
      <c r="CL50" s="363"/>
      <c r="CM50" s="363"/>
      <c r="CN50" s="363"/>
      <c r="CO50" s="363"/>
      <c r="CP50" s="363"/>
      <c r="CQ50" s="401"/>
      <c r="CR50" s="401"/>
      <c r="CS50" s="401"/>
      <c r="CT50" s="401"/>
      <c r="CU50" s="401"/>
      <c r="CV50" s="401"/>
      <c r="CW50" s="401"/>
      <c r="CX50" s="401"/>
      <c r="CY50" s="217"/>
      <c r="CZ50" s="62"/>
      <c r="DA50" s="62"/>
      <c r="DB50" s="280"/>
      <c r="DD50" s="174"/>
      <c r="DE50" s="62"/>
    </row>
    <row r="51" spans="1:109" s="9" customFormat="1" ht="18.75" customHeight="1" thickBot="1">
      <c r="A51" s="706" t="s">
        <v>47</v>
      </c>
      <c r="B51" s="707"/>
      <c r="C51" s="378">
        <v>2745268.12</v>
      </c>
      <c r="D51" s="32"/>
      <c r="E51" s="207">
        <f>E7+E13+E15+E25+E28+E38+E40</f>
        <v>13075052.069999998</v>
      </c>
      <c r="F51" s="207">
        <f>F7+F13+F15+F25+F28+F38+F40</f>
        <v>13146817.329999998</v>
      </c>
      <c r="G51" s="207">
        <f>G7+G13+G15+G25+G28+G38+G40</f>
        <v>12928425.641999999</v>
      </c>
      <c r="H51" s="221">
        <v>13172487</v>
      </c>
      <c r="I51" s="218"/>
      <c r="J51" s="325"/>
      <c r="K51" s="325"/>
      <c r="L51" s="325"/>
      <c r="M51" s="325"/>
      <c r="N51" s="281"/>
      <c r="O51" s="310"/>
      <c r="P51" s="310"/>
      <c r="Q51" s="298"/>
      <c r="R51" s="703" t="s">
        <v>150</v>
      </c>
      <c r="S51" s="704"/>
      <c r="T51" s="402">
        <f aca="true" t="shared" si="104" ref="T51:AN51">T7+T13+T15+T25+T28+T38+T40</f>
        <v>1067359.24</v>
      </c>
      <c r="U51" s="402">
        <f t="shared" si="104"/>
        <v>534855.25</v>
      </c>
      <c r="V51" s="402">
        <f t="shared" si="104"/>
        <v>2536806.45</v>
      </c>
      <c r="W51" s="402">
        <f t="shared" si="104"/>
        <v>1138922.82</v>
      </c>
      <c r="X51" s="402">
        <f t="shared" si="104"/>
        <v>955458.84</v>
      </c>
      <c r="Y51" s="275">
        <f t="shared" si="104"/>
        <v>457017.66</v>
      </c>
      <c r="Z51" s="275">
        <f t="shared" si="104"/>
        <v>1266127.6700000002</v>
      </c>
      <c r="AA51" s="275">
        <f t="shared" si="104"/>
        <v>993704.0900000001</v>
      </c>
      <c r="AB51" s="275">
        <f t="shared" si="104"/>
        <v>1096326.2700000003</v>
      </c>
      <c r="AC51" s="275">
        <f t="shared" si="104"/>
        <v>3472409.73</v>
      </c>
      <c r="AD51" s="275">
        <f t="shared" si="104"/>
        <v>2484018.18</v>
      </c>
      <c r="AE51" s="275">
        <f t="shared" si="104"/>
        <v>4090150.38</v>
      </c>
      <c r="AF51" s="275">
        <f t="shared" si="104"/>
        <v>908811.81</v>
      </c>
      <c r="AG51" s="275">
        <f t="shared" si="104"/>
        <v>1066950.48</v>
      </c>
      <c r="AH51" s="275">
        <f t="shared" si="104"/>
        <v>674123.1799999999</v>
      </c>
      <c r="AI51" s="275">
        <f t="shared" si="104"/>
        <v>1013488.7100000001</v>
      </c>
      <c r="AJ51" s="275">
        <f t="shared" si="104"/>
        <v>1815601.9000000001</v>
      </c>
      <c r="AK51" s="275">
        <f t="shared" si="104"/>
        <v>955449.2299999999</v>
      </c>
      <c r="AL51" s="275">
        <f t="shared" si="104"/>
        <v>1296050.52</v>
      </c>
      <c r="AM51" s="275">
        <f t="shared" si="104"/>
        <v>1670401.37</v>
      </c>
      <c r="AN51" s="275">
        <f t="shared" si="104"/>
        <v>745688.12</v>
      </c>
      <c r="AO51" s="275"/>
      <c r="AP51" s="275"/>
      <c r="AQ51" s="275"/>
      <c r="AR51" s="275">
        <f aca="true" t="shared" si="105" ref="AR51:BO51">AR7+AR13+AR15+AR25+AR28+AR38+AR40</f>
        <v>1009167.37</v>
      </c>
      <c r="AS51" s="275">
        <f t="shared" si="105"/>
        <v>1404302.9400000002</v>
      </c>
      <c r="AT51" s="275">
        <f t="shared" si="105"/>
        <v>1314966.45</v>
      </c>
      <c r="AU51" s="275">
        <f t="shared" si="105"/>
        <v>1220355.8399999999</v>
      </c>
      <c r="AV51" s="275">
        <f t="shared" si="105"/>
        <v>912858.1499999999</v>
      </c>
      <c r="AW51" s="629">
        <f t="shared" si="105"/>
        <v>1624684.24</v>
      </c>
      <c r="AX51" s="629">
        <f t="shared" si="105"/>
        <v>1420656.5</v>
      </c>
      <c r="AY51" s="629">
        <f t="shared" si="105"/>
        <v>1263829.5499999998</v>
      </c>
      <c r="AZ51" s="629">
        <f t="shared" si="105"/>
        <v>1053329.05</v>
      </c>
      <c r="BA51" s="275">
        <f t="shared" si="105"/>
        <v>3650179.7100000004</v>
      </c>
      <c r="BB51" s="275">
        <f t="shared" si="105"/>
        <v>3580990.64</v>
      </c>
      <c r="BC51" s="275">
        <f t="shared" si="105"/>
        <v>3992979.74</v>
      </c>
      <c r="BD51" s="275">
        <f t="shared" si="105"/>
        <v>935537.68</v>
      </c>
      <c r="BE51" s="275">
        <f t="shared" si="105"/>
        <v>1194394.4100000001</v>
      </c>
      <c r="BF51" s="275">
        <f t="shared" si="105"/>
        <v>2244976.93</v>
      </c>
      <c r="BG51" s="275">
        <f t="shared" si="105"/>
        <v>1015772.3300000001</v>
      </c>
      <c r="BH51" s="275">
        <f t="shared" si="105"/>
        <v>754171.8999999999</v>
      </c>
      <c r="BI51" s="275">
        <f t="shared" si="105"/>
        <v>896143.0700000001</v>
      </c>
      <c r="BJ51" s="275">
        <f t="shared" si="105"/>
        <v>1085078.86</v>
      </c>
      <c r="BK51" s="275">
        <f t="shared" si="105"/>
        <v>2188325.68</v>
      </c>
      <c r="BL51" s="275">
        <f t="shared" si="105"/>
        <v>980110.93</v>
      </c>
      <c r="BM51" s="275">
        <f t="shared" si="105"/>
        <v>3036388.8699999996</v>
      </c>
      <c r="BN51" s="275">
        <f t="shared" si="105"/>
        <v>4136891.99</v>
      </c>
      <c r="BO51" s="403">
        <f t="shared" si="105"/>
        <v>4121230.9299999997</v>
      </c>
      <c r="BP51" s="701" t="s">
        <v>140</v>
      </c>
      <c r="BQ51" s="702"/>
      <c r="BR51" s="702"/>
      <c r="BS51" s="637"/>
      <c r="BT51" s="637"/>
      <c r="BU51" s="637"/>
      <c r="BV51" s="637"/>
      <c r="BW51" s="637"/>
      <c r="BX51" s="637"/>
      <c r="BY51" s="638"/>
      <c r="BZ51" s="638"/>
      <c r="CA51" s="638"/>
      <c r="CB51" s="638"/>
      <c r="CC51" s="638"/>
      <c r="CD51" s="638"/>
      <c r="CE51" s="638"/>
      <c r="CF51" s="638"/>
      <c r="CG51" s="638"/>
      <c r="CH51" s="638"/>
      <c r="CI51" s="638"/>
      <c r="CJ51" s="638"/>
      <c r="CK51" s="638"/>
      <c r="CL51" s="638"/>
      <c r="CM51" s="638"/>
      <c r="CN51" s="638"/>
      <c r="CO51" s="638"/>
      <c r="CP51" s="638"/>
      <c r="CQ51" s="638"/>
      <c r="CR51" s="638"/>
      <c r="CS51" s="638"/>
      <c r="CT51" s="638"/>
      <c r="CU51" s="638"/>
      <c r="CV51" s="638"/>
      <c r="CW51" s="638"/>
      <c r="CX51" s="639">
        <f>16338.48+42083.05+51988.2+51988.2+51988.2</f>
        <v>214386.13</v>
      </c>
      <c r="CY51" s="217"/>
      <c r="CZ51" s="297"/>
      <c r="DA51" s="297"/>
      <c r="DB51" s="281"/>
      <c r="DD51" s="298"/>
      <c r="DE51" s="297"/>
    </row>
    <row r="52" spans="1:109" s="17" customFormat="1" ht="15.75" thickBot="1">
      <c r="A52" s="705"/>
      <c r="B52" s="705"/>
      <c r="C52" s="705"/>
      <c r="D52" s="177"/>
      <c r="E52" s="210"/>
      <c r="F52" s="212"/>
      <c r="G52" s="210"/>
      <c r="H52" s="246">
        <v>70884660</v>
      </c>
      <c r="I52" s="276" t="e">
        <f>#REF!+#REF!</f>
        <v>#REF!</v>
      </c>
      <c r="J52" s="326"/>
      <c r="K52" s="479"/>
      <c r="L52" s="326"/>
      <c r="M52" s="326"/>
      <c r="N52" s="276"/>
      <c r="O52" s="276"/>
      <c r="P52" s="276"/>
      <c r="Q52" s="505"/>
      <c r="R52" s="505"/>
      <c r="T52" s="29"/>
      <c r="U52" s="29"/>
      <c r="V52" s="29"/>
      <c r="W52" s="29"/>
      <c r="X52" s="29"/>
      <c r="Y52" s="208"/>
      <c r="Z52" s="208"/>
      <c r="AA52" s="208"/>
      <c r="AB52" s="208"/>
      <c r="AC52" s="209"/>
      <c r="AD52" s="209">
        <f>AD48+AC49</f>
        <v>18182610.119999997</v>
      </c>
      <c r="AE52" s="209"/>
      <c r="AF52" s="208"/>
      <c r="AG52" s="208"/>
      <c r="AH52" s="208"/>
      <c r="AI52" s="208"/>
      <c r="AJ52" s="208"/>
      <c r="AK52" s="208"/>
      <c r="AL52" s="208"/>
      <c r="AM52" s="208"/>
      <c r="AN52" s="208"/>
      <c r="AO52" s="209"/>
      <c r="AP52" s="209"/>
      <c r="AQ52" s="209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9"/>
      <c r="BQ52" s="209"/>
      <c r="BR52" s="460"/>
      <c r="BS52" s="211"/>
      <c r="BT52" s="211"/>
      <c r="BU52" s="211"/>
      <c r="BV52" s="211"/>
      <c r="BW52" s="211"/>
      <c r="BX52" s="211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470"/>
      <c r="CY52" s="276"/>
      <c r="CZ52" s="276"/>
      <c r="DA52" s="276"/>
      <c r="DB52" s="276"/>
      <c r="DC52" s="276"/>
      <c r="DD52" s="480"/>
      <c r="DE52" s="488"/>
    </row>
    <row r="53" spans="2:103" ht="12" customHeight="1">
      <c r="B53" s="475"/>
      <c r="E53" s="24"/>
      <c r="F53" s="24"/>
      <c r="G53" s="24"/>
      <c r="H53" s="222"/>
      <c r="I53" s="166"/>
      <c r="J53" s="327"/>
      <c r="K53" s="327"/>
      <c r="L53" s="327"/>
      <c r="M53" s="327"/>
      <c r="Y53" s="213"/>
      <c r="Z53" s="213"/>
      <c r="AA53" s="213"/>
      <c r="AB53" s="213"/>
      <c r="AC53" s="39"/>
      <c r="AD53" s="39"/>
      <c r="AE53" s="39"/>
      <c r="AF53" s="213"/>
      <c r="AG53" s="213"/>
      <c r="AH53" s="213"/>
      <c r="AI53" s="213"/>
      <c r="AJ53" s="213"/>
      <c r="AK53" s="213"/>
      <c r="AL53" s="213"/>
      <c r="AM53" s="213"/>
      <c r="AN53" s="213"/>
      <c r="AO53" s="39"/>
      <c r="AP53" s="39"/>
      <c r="AQ53" s="39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39"/>
      <c r="BQ53" s="39"/>
      <c r="BR53" s="461"/>
      <c r="BS53" s="214"/>
      <c r="BT53" s="214"/>
      <c r="BU53" s="214"/>
      <c r="BV53" s="214"/>
      <c r="BW53" s="214"/>
      <c r="BX53" s="214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471"/>
      <c r="CY53" s="166"/>
    </row>
    <row r="54" spans="8:103" ht="15.75">
      <c r="H54" s="223"/>
      <c r="I54" s="166"/>
      <c r="J54" s="327"/>
      <c r="K54" s="327"/>
      <c r="L54" s="327"/>
      <c r="M54" s="327"/>
      <c r="CQ54" s="39"/>
      <c r="CR54" s="39"/>
      <c r="CS54" s="39"/>
      <c r="CT54" s="39"/>
      <c r="CU54" s="39"/>
      <c r="CV54" s="39"/>
      <c r="CW54" s="39"/>
      <c r="CX54" s="471"/>
      <c r="CY54" s="166"/>
    </row>
    <row r="55" spans="8:103" ht="15.75">
      <c r="H55" s="222"/>
      <c r="I55" s="166"/>
      <c r="J55" s="327"/>
      <c r="K55" s="327"/>
      <c r="L55" s="327"/>
      <c r="M55" s="327"/>
      <c r="CQ55" s="39"/>
      <c r="CR55" s="39"/>
      <c r="CS55" s="39"/>
      <c r="CT55" s="39"/>
      <c r="CU55" s="39"/>
      <c r="CV55" s="39"/>
      <c r="CW55" s="39"/>
      <c r="CX55" s="471"/>
      <c r="CY55" s="166"/>
    </row>
  </sheetData>
  <sheetProtection/>
  <mergeCells count="33">
    <mergeCell ref="BP51:BR51"/>
    <mergeCell ref="R51:S51"/>
    <mergeCell ref="A52:C52"/>
    <mergeCell ref="A15:A16"/>
    <mergeCell ref="A18:A20"/>
    <mergeCell ref="A51:B51"/>
    <mergeCell ref="A40:B40"/>
    <mergeCell ref="A41:B41"/>
    <mergeCell ref="A44:B44"/>
    <mergeCell ref="A48:B48"/>
    <mergeCell ref="A7:A8"/>
    <mergeCell ref="A9:B9"/>
    <mergeCell ref="A14:B14"/>
    <mergeCell ref="A34:B34"/>
    <mergeCell ref="A26:A33"/>
    <mergeCell ref="A1:D1"/>
    <mergeCell ref="A35:A37"/>
    <mergeCell ref="A38:B38"/>
    <mergeCell ref="BR47:CW47"/>
    <mergeCell ref="A5:B5"/>
    <mergeCell ref="BR5:BU5"/>
    <mergeCell ref="A39:B39"/>
    <mergeCell ref="A22:B22"/>
    <mergeCell ref="A23:A24"/>
    <mergeCell ref="A25:B25"/>
    <mergeCell ref="F50:G50"/>
    <mergeCell ref="A43:B43"/>
    <mergeCell ref="CZ34:DA34"/>
    <mergeCell ref="CZ9:DA9"/>
    <mergeCell ref="CZ14:DA14"/>
    <mergeCell ref="CZ17:DA17"/>
    <mergeCell ref="BQ50:BR50"/>
    <mergeCell ref="A42:B42"/>
  </mergeCells>
  <printOptions/>
  <pageMargins left="1.48" right="0.16" top="0.24" bottom="0.16" header="0.2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marinela.ichim</cp:lastModifiedBy>
  <cp:lastPrinted>2022-02-01T13:42:14Z</cp:lastPrinted>
  <dcterms:created xsi:type="dcterms:W3CDTF">2011-03-01T10:10:47Z</dcterms:created>
  <dcterms:modified xsi:type="dcterms:W3CDTF">2022-05-11T14:37:05Z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